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usalo-f2\Desktop\"/>
    </mc:Choice>
  </mc:AlternateContent>
  <xr:revisionPtr revIDLastSave="0" documentId="13_ncr:1_{8341AE69-CDE8-424D-86FF-6FD035B68D7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1403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9" l="1"/>
  <c r="J3" i="9"/>
  <c r="D61" i="9"/>
  <c r="F61" i="9" s="1"/>
  <c r="D60" i="9"/>
  <c r="F60" i="9" s="1"/>
  <c r="D59" i="9"/>
  <c r="D58" i="9"/>
  <c r="F58" i="9" s="1"/>
  <c r="D57" i="9"/>
  <c r="D56" i="9"/>
  <c r="F56" i="9" s="1"/>
  <c r="D55" i="9"/>
  <c r="F55" i="9" s="1"/>
  <c r="D54" i="9"/>
  <c r="F54" i="9" s="1"/>
  <c r="D53" i="9"/>
  <c r="F53" i="9" s="1"/>
  <c r="D52" i="9"/>
  <c r="F52" i="9" s="1"/>
  <c r="D51" i="9"/>
  <c r="F51" i="9" s="1"/>
  <c r="D50" i="9"/>
  <c r="F50" i="9" s="1"/>
  <c r="D49" i="9"/>
  <c r="F49" i="9" s="1"/>
  <c r="D48" i="9"/>
  <c r="F48" i="9" s="1"/>
  <c r="D47" i="9"/>
  <c r="F47" i="9" s="1"/>
  <c r="D46" i="9"/>
  <c r="F46" i="9" s="1"/>
  <c r="D45" i="9"/>
  <c r="D44" i="9"/>
  <c r="F44" i="9" s="1"/>
  <c r="D43" i="9"/>
  <c r="D42" i="9"/>
  <c r="F42" i="9" s="1"/>
  <c r="D41" i="9"/>
  <c r="F41" i="9" s="1"/>
  <c r="D40" i="9"/>
  <c r="F40" i="9" s="1"/>
  <c r="D39" i="9"/>
  <c r="F39" i="9" s="1"/>
  <c r="D38" i="9"/>
  <c r="F38" i="9" s="1"/>
  <c r="D37" i="9"/>
  <c r="D36" i="9"/>
  <c r="F36" i="9" s="1"/>
  <c r="D35" i="9"/>
  <c r="F35" i="9" s="1"/>
  <c r="D34" i="9"/>
  <c r="F34" i="9" s="1"/>
  <c r="D33" i="9"/>
  <c r="D32" i="9"/>
  <c r="F32" i="9" s="1"/>
  <c r="D31" i="9"/>
  <c r="D30" i="9"/>
  <c r="F30" i="9" s="1"/>
  <c r="D29" i="9"/>
  <c r="F29" i="9" s="1"/>
  <c r="D28" i="9"/>
  <c r="D27" i="9"/>
  <c r="D26" i="9"/>
  <c r="F26" i="9" s="1"/>
  <c r="D25" i="9"/>
  <c r="F25" i="9" s="1"/>
  <c r="D24" i="9"/>
  <c r="F24" i="9" s="1"/>
  <c r="D23" i="9"/>
  <c r="D22" i="9"/>
  <c r="F22" i="9" s="1"/>
  <c r="D21" i="9"/>
  <c r="D20" i="9"/>
  <c r="F20" i="9" s="1"/>
  <c r="D19" i="9"/>
  <c r="F19" i="9" s="1"/>
  <c r="D18" i="9"/>
  <c r="F18" i="9" s="1"/>
  <c r="D17" i="9"/>
  <c r="F17" i="9" s="1"/>
  <c r="D16" i="9"/>
  <c r="F16" i="9" s="1"/>
  <c r="D15" i="9"/>
  <c r="F15" i="9" s="1"/>
  <c r="D14" i="9"/>
  <c r="F14" i="9" s="1"/>
  <c r="D13" i="9"/>
  <c r="D12" i="9"/>
  <c r="F12" i="9" s="1"/>
  <c r="D11" i="9"/>
  <c r="F11" i="9" s="1"/>
  <c r="D10" i="9"/>
  <c r="F10" i="9" s="1"/>
  <c r="D9" i="9"/>
  <c r="D8" i="9"/>
  <c r="F8" i="9" s="1"/>
  <c r="D7" i="9"/>
  <c r="F7" i="9" s="1"/>
  <c r="D6" i="9"/>
  <c r="F6" i="9" s="1"/>
  <c r="D5" i="9"/>
  <c r="F5" i="9" s="1"/>
  <c r="G61" i="9"/>
  <c r="G2" i="9"/>
  <c r="M2" i="9" s="1"/>
  <c r="F13" i="9"/>
  <c r="F27" i="9"/>
  <c r="F28" i="9"/>
  <c r="F31" i="9"/>
  <c r="F37" i="9"/>
  <c r="F59" i="9"/>
  <c r="F43" i="9"/>
  <c r="F23" i="9"/>
  <c r="F3" i="9"/>
  <c r="F4" i="9"/>
  <c r="F2" i="9"/>
  <c r="G5" i="9"/>
  <c r="G6" i="9"/>
  <c r="G7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4" i="9"/>
  <c r="L4" i="9" s="1"/>
  <c r="G3" i="9"/>
  <c r="L3" i="9" s="1"/>
  <c r="L28" i="9" l="1"/>
  <c r="L36" i="9"/>
  <c r="L44" i="9"/>
  <c r="L48" i="9"/>
  <c r="L52" i="9"/>
  <c r="L56" i="9"/>
  <c r="L60" i="9"/>
  <c r="L12" i="9"/>
  <c r="L16" i="9"/>
  <c r="L20" i="9"/>
  <c r="L24" i="9"/>
  <c r="L32" i="9"/>
  <c r="L40" i="9"/>
  <c r="L8" i="9"/>
  <c r="L10" i="9"/>
  <c r="L14" i="9"/>
  <c r="L11" i="9"/>
  <c r="L15" i="9"/>
  <c r="L19" i="9"/>
  <c r="L23" i="9"/>
  <c r="L27" i="9"/>
  <c r="L31" i="9"/>
  <c r="L35" i="9"/>
  <c r="L39" i="9"/>
  <c r="L43" i="9"/>
  <c r="L47" i="9"/>
  <c r="L51" i="9"/>
  <c r="L55" i="9"/>
  <c r="L59" i="9"/>
  <c r="L7" i="9"/>
  <c r="L2" i="9"/>
  <c r="L18" i="9"/>
  <c r="L22" i="9"/>
  <c r="L26" i="9"/>
  <c r="L30" i="9"/>
  <c r="L34" i="9"/>
  <c r="L38" i="9"/>
  <c r="L42" i="9"/>
  <c r="L46" i="9"/>
  <c r="L50" i="9"/>
  <c r="L54" i="9"/>
  <c r="L58" i="9"/>
  <c r="L6" i="9"/>
  <c r="M60" i="9"/>
  <c r="M55" i="9"/>
  <c r="M50" i="9"/>
  <c r="M44" i="9"/>
  <c r="M39" i="9"/>
  <c r="M34" i="9"/>
  <c r="M28" i="9"/>
  <c r="M23" i="9"/>
  <c r="M18" i="9"/>
  <c r="M12" i="9"/>
  <c r="M7" i="9"/>
  <c r="O5" i="9"/>
  <c r="M59" i="9"/>
  <c r="M54" i="9"/>
  <c r="M48" i="9"/>
  <c r="M43" i="9"/>
  <c r="M38" i="9"/>
  <c r="M32" i="9"/>
  <c r="M27" i="9"/>
  <c r="M22" i="9"/>
  <c r="M16" i="9"/>
  <c r="M11" i="9"/>
  <c r="M6" i="9"/>
  <c r="M57" i="9"/>
  <c r="M53" i="9"/>
  <c r="M49" i="9"/>
  <c r="M45" i="9"/>
  <c r="M41" i="9"/>
  <c r="M33" i="9"/>
  <c r="M29" i="9"/>
  <c r="M21" i="9"/>
  <c r="M17" i="9"/>
  <c r="M9" i="9"/>
  <c r="M58" i="9"/>
  <c r="M52" i="9"/>
  <c r="M47" i="9"/>
  <c r="M42" i="9"/>
  <c r="M36" i="9"/>
  <c r="M31" i="9"/>
  <c r="M26" i="9"/>
  <c r="M20" i="9"/>
  <c r="M15" i="9"/>
  <c r="M10" i="9"/>
  <c r="M4" i="9"/>
  <c r="M56" i="9"/>
  <c r="M51" i="9"/>
  <c r="M46" i="9"/>
  <c r="M40" i="9"/>
  <c r="M35" i="9"/>
  <c r="M30" i="9"/>
  <c r="M24" i="9"/>
  <c r="M19" i="9"/>
  <c r="M14" i="9"/>
  <c r="M8" i="9"/>
  <c r="M3" i="9"/>
  <c r="F9" i="9"/>
  <c r="F21" i="9"/>
  <c r="F33" i="9"/>
  <c r="F45" i="9"/>
  <c r="F57" i="9"/>
  <c r="L61" i="9"/>
  <c r="L57" i="9"/>
  <c r="L53" i="9"/>
  <c r="L49" i="9"/>
  <c r="L45" i="9"/>
  <c r="L41" i="9"/>
  <c r="L37" i="9"/>
  <c r="L33" i="9"/>
  <c r="L29" i="9"/>
  <c r="L25" i="9"/>
  <c r="L21" i="9"/>
  <c r="L17" i="9"/>
  <c r="L13" i="9"/>
  <c r="L9" i="9"/>
  <c r="M61" i="9"/>
  <c r="M37" i="9"/>
  <c r="M25" i="9"/>
  <c r="M13" i="9"/>
  <c r="M5" i="9"/>
  <c r="L5" i="9"/>
  <c r="N61" i="9"/>
  <c r="N54" i="9"/>
  <c r="N5" i="9"/>
  <c r="O30" i="9"/>
  <c r="K4" i="9"/>
  <c r="N46" i="9"/>
  <c r="N15" i="9"/>
  <c r="K49" i="9"/>
  <c r="K60" i="9"/>
  <c r="O49" i="9"/>
  <c r="K5" i="9"/>
  <c r="K34" i="9"/>
  <c r="O38" i="9"/>
  <c r="K7" i="9"/>
  <c r="N7" i="9"/>
  <c r="N6" i="9"/>
  <c r="K6" i="9"/>
  <c r="O6" i="9"/>
  <c r="O23" i="9"/>
  <c r="N25" i="9"/>
  <c r="O26" i="9"/>
  <c r="N28" i="9"/>
  <c r="O7" i="9"/>
  <c r="N17" i="9"/>
  <c r="O60" i="9"/>
  <c r="N14" i="9"/>
  <c r="K20" i="9"/>
  <c r="K52" i="9"/>
  <c r="N12" i="9"/>
  <c r="O36" i="9"/>
  <c r="N40" i="9"/>
  <c r="N43" i="9"/>
  <c r="K36" i="9"/>
  <c r="N58" i="9"/>
  <c r="N18" i="9"/>
  <c r="K30" i="9"/>
  <c r="K32" i="9"/>
  <c r="K38" i="9"/>
  <c r="O50" i="9"/>
  <c r="O52" i="9"/>
  <c r="K56" i="9"/>
  <c r="N60" i="9"/>
  <c r="K29" i="9"/>
  <c r="O29" i="9"/>
  <c r="K31" i="9"/>
  <c r="O31" i="9"/>
  <c r="N31" i="9"/>
  <c r="K37" i="9"/>
  <c r="N37" i="9"/>
  <c r="K35" i="9"/>
  <c r="O35" i="9"/>
  <c r="O42" i="9"/>
  <c r="K42" i="9"/>
  <c r="N11" i="9"/>
  <c r="O44" i="9"/>
  <c r="K44" i="9"/>
  <c r="O41" i="9"/>
  <c r="K41" i="9"/>
  <c r="O3" i="9"/>
  <c r="O56" i="9"/>
  <c r="O32" i="9"/>
  <c r="N34" i="9"/>
  <c r="O51" i="9"/>
  <c r="K58" i="9"/>
  <c r="O58" i="9"/>
  <c r="O4" i="9"/>
  <c r="O34" i="9"/>
  <c r="O8" i="9"/>
  <c r="K8" i="9"/>
  <c r="N10" i="9"/>
  <c r="O2" i="9"/>
  <c r="K2" i="9"/>
  <c r="N2" i="9"/>
  <c r="N8" i="9"/>
  <c r="O11" i="9"/>
  <c r="K11" i="9"/>
  <c r="N13" i="9"/>
  <c r="O9" i="9"/>
  <c r="O14" i="9"/>
  <c r="K14" i="9"/>
  <c r="N16" i="9"/>
  <c r="O17" i="9"/>
  <c r="K17" i="9"/>
  <c r="O19" i="9"/>
  <c r="K19" i="9"/>
  <c r="N19" i="9"/>
  <c r="O15" i="9"/>
  <c r="K15" i="9"/>
  <c r="O18" i="9"/>
  <c r="K18" i="9"/>
  <c r="O12" i="9"/>
  <c r="K12" i="9"/>
  <c r="O22" i="9"/>
  <c r="K22" i="9"/>
  <c r="N22" i="9"/>
  <c r="O24" i="9"/>
  <c r="N24" i="9"/>
  <c r="K24" i="9"/>
  <c r="O27" i="9"/>
  <c r="N27" i="9"/>
  <c r="K27" i="9"/>
  <c r="O47" i="9"/>
  <c r="K47" i="9"/>
  <c r="N47" i="9"/>
  <c r="O39" i="9"/>
  <c r="N39" i="9"/>
  <c r="K39" i="9"/>
  <c r="N3" i="9"/>
  <c r="K10" i="9"/>
  <c r="O10" i="9"/>
  <c r="K13" i="9"/>
  <c r="O13" i="9"/>
  <c r="K16" i="9"/>
  <c r="O16" i="9"/>
  <c r="N20" i="9"/>
  <c r="K23" i="9"/>
  <c r="K26" i="9"/>
  <c r="K3" i="9"/>
  <c r="N4" i="9"/>
  <c r="O20" i="9"/>
  <c r="N23" i="9"/>
  <c r="N26" i="9"/>
  <c r="K25" i="9"/>
  <c r="O25" i="9"/>
  <c r="K28" i="9"/>
  <c r="O28" i="9"/>
  <c r="O37" i="9"/>
  <c r="O59" i="9"/>
  <c r="N59" i="9"/>
  <c r="K59" i="9"/>
  <c r="N29" i="9"/>
  <c r="N30" i="9"/>
  <c r="N32" i="9"/>
  <c r="N35" i="9"/>
  <c r="N36" i="9"/>
  <c r="N38" i="9"/>
  <c r="K40" i="9"/>
  <c r="O40" i="9"/>
  <c r="K43" i="9"/>
  <c r="O43" i="9"/>
  <c r="K46" i="9"/>
  <c r="O46" i="9"/>
  <c r="N49" i="9"/>
  <c r="N41" i="9"/>
  <c r="N42" i="9"/>
  <c r="N44" i="9"/>
  <c r="O48" i="9"/>
  <c r="K48" i="9"/>
  <c r="N48" i="9"/>
  <c r="N53" i="9"/>
  <c r="N50" i="9"/>
  <c r="N51" i="9"/>
  <c r="K50" i="9"/>
  <c r="K51" i="9"/>
  <c r="N52" i="9"/>
  <c r="O55" i="9"/>
  <c r="K53" i="9"/>
  <c r="O53" i="9"/>
  <c r="K54" i="9"/>
  <c r="O54" i="9"/>
  <c r="N55" i="9"/>
  <c r="K55" i="9"/>
  <c r="K61" i="9"/>
  <c r="O61" i="9"/>
  <c r="N56" i="9"/>
  <c r="K57" i="9" l="1"/>
  <c r="O45" i="9"/>
  <c r="N9" i="9"/>
  <c r="O57" i="9"/>
  <c r="N33" i="9"/>
  <c r="N57" i="9"/>
  <c r="K9" i="9"/>
  <c r="N21" i="9"/>
  <c r="S5" i="9"/>
  <c r="S54" i="9"/>
  <c r="K21" i="9"/>
  <c r="O21" i="9"/>
  <c r="S21" i="9" s="1"/>
  <c r="O33" i="9"/>
  <c r="K33" i="9"/>
  <c r="N45" i="9"/>
  <c r="S17" i="9"/>
  <c r="K45" i="9"/>
  <c r="R5" i="9"/>
  <c r="Q5" i="9"/>
  <c r="S44" i="9"/>
  <c r="S18" i="9"/>
  <c r="S46" i="9"/>
  <c r="S32" i="9"/>
  <c r="S15" i="9"/>
  <c r="S58" i="9"/>
  <c r="S31" i="9"/>
  <c r="R37" i="9"/>
  <c r="S25" i="9"/>
  <c r="S14" i="9"/>
  <c r="S43" i="9"/>
  <c r="R52" i="9"/>
  <c r="S3" i="9"/>
  <c r="S10" i="9"/>
  <c r="Q7" i="9"/>
  <c r="Q23" i="9"/>
  <c r="R31" i="9"/>
  <c r="R6" i="9"/>
  <c r="R7" i="9"/>
  <c r="R30" i="9"/>
  <c r="R11" i="9"/>
  <c r="S6" i="9"/>
  <c r="S28" i="9"/>
  <c r="Q6" i="9"/>
  <c r="S7" i="9"/>
  <c r="S20" i="9"/>
  <c r="Q55" i="9"/>
  <c r="Q47" i="9"/>
  <c r="S42" i="9"/>
  <c r="S27" i="9"/>
  <c r="S11" i="9"/>
  <c r="Q31" i="9"/>
  <c r="R39" i="9"/>
  <c r="S12" i="9"/>
  <c r="S8" i="9"/>
  <c r="R8" i="9"/>
  <c r="Q42" i="9"/>
  <c r="R60" i="9"/>
  <c r="S61" i="9"/>
  <c r="Q37" i="9"/>
  <c r="S37" i="9"/>
  <c r="R9" i="9"/>
  <c r="Q59" i="9"/>
  <c r="S47" i="9"/>
  <c r="R27" i="9"/>
  <c r="Q17" i="9"/>
  <c r="S9" i="9"/>
  <c r="S60" i="9"/>
  <c r="R16" i="9"/>
  <c r="R61" i="9"/>
  <c r="S41" i="9"/>
  <c r="R41" i="9"/>
  <c r="S51" i="9"/>
  <c r="S53" i="9"/>
  <c r="Q53" i="9"/>
  <c r="R48" i="9"/>
  <c r="S34" i="9"/>
  <c r="Q60" i="9"/>
  <c r="Q20" i="9"/>
  <c r="S39" i="9"/>
  <c r="Q18" i="9"/>
  <c r="R2" i="9"/>
  <c r="R59" i="9"/>
  <c r="R58" i="9"/>
  <c r="Q41" i="9"/>
  <c r="Q40" i="9"/>
  <c r="Q35" i="9"/>
  <c r="R29" i="9"/>
  <c r="R34" i="9"/>
  <c r="Q27" i="9"/>
  <c r="S4" i="9"/>
  <c r="S24" i="9"/>
  <c r="Q12" i="9"/>
  <c r="R20" i="9"/>
  <c r="R14" i="9"/>
  <c r="R12" i="9"/>
  <c r="R10" i="9"/>
  <c r="S59" i="9"/>
  <c r="S55" i="9"/>
  <c r="Q61" i="9"/>
  <c r="Q58" i="9"/>
  <c r="Q34" i="9"/>
  <c r="Q38" i="9"/>
  <c r="R36" i="9"/>
  <c r="Q26" i="9"/>
  <c r="Q16" i="9"/>
  <c r="Q11" i="9"/>
  <c r="Q32" i="9"/>
  <c r="Q8" i="9"/>
  <c r="R19" i="9"/>
  <c r="S2" i="9"/>
  <c r="R54" i="9"/>
  <c r="S52" i="9"/>
  <c r="S50" i="9"/>
  <c r="Q48" i="9"/>
  <c r="S49" i="9"/>
  <c r="Q46" i="9"/>
  <c r="R44" i="9"/>
  <c r="R42" i="9"/>
  <c r="Q39" i="9"/>
  <c r="S40" i="9"/>
  <c r="S36" i="9"/>
  <c r="S30" i="9"/>
  <c r="R35" i="9"/>
  <c r="R43" i="9"/>
  <c r="R24" i="9"/>
  <c r="Q30" i="9"/>
  <c r="Q14" i="9"/>
  <c r="Q9" i="9"/>
  <c r="R47" i="9"/>
  <c r="S22" i="9"/>
  <c r="S26" i="9"/>
  <c r="S19" i="9"/>
  <c r="R13" i="9"/>
  <c r="S13" i="9"/>
  <c r="R32" i="9"/>
  <c r="R56" i="9"/>
  <c r="Q56" i="9"/>
  <c r="Q50" i="9"/>
  <c r="R50" i="9"/>
  <c r="R46" i="9"/>
  <c r="S48" i="9"/>
  <c r="Q24" i="9"/>
  <c r="R3" i="9"/>
  <c r="Q3" i="9"/>
  <c r="Q29" i="9"/>
  <c r="R28" i="9"/>
  <c r="R15" i="9"/>
  <c r="Q36" i="9"/>
  <c r="R4" i="9"/>
  <c r="Q22" i="9"/>
  <c r="R22" i="9"/>
  <c r="S23" i="9"/>
  <c r="S16" i="9"/>
  <c r="Q2" i="9"/>
  <c r="R18" i="9"/>
  <c r="R57" i="9"/>
  <c r="Q54" i="9"/>
  <c r="Q52" i="9"/>
  <c r="R49" i="9"/>
  <c r="Q49" i="9"/>
  <c r="Q43" i="9"/>
  <c r="Q44" i="9"/>
  <c r="R38" i="9"/>
  <c r="S56" i="9"/>
  <c r="R55" i="9"/>
  <c r="R53" i="9"/>
  <c r="Q51" i="9"/>
  <c r="R51" i="9"/>
  <c r="R40" i="9"/>
  <c r="S35" i="9"/>
  <c r="S29" i="9"/>
  <c r="S38" i="9"/>
  <c r="Q28" i="9"/>
  <c r="Q25" i="9"/>
  <c r="R26" i="9"/>
  <c r="R23" i="9"/>
  <c r="Q19" i="9"/>
  <c r="Q13" i="9"/>
  <c r="Q10" i="9"/>
  <c r="Q4" i="9"/>
  <c r="R25" i="9"/>
  <c r="R17" i="9"/>
  <c r="Q15" i="9"/>
  <c r="T5" i="9" l="1"/>
  <c r="S57" i="9"/>
  <c r="R33" i="9"/>
  <c r="Q57" i="9"/>
  <c r="T57" i="9" s="1"/>
  <c r="S33" i="9"/>
  <c r="Q21" i="9"/>
  <c r="R21" i="9"/>
  <c r="Q45" i="9"/>
  <c r="Q33" i="9"/>
  <c r="R45" i="9"/>
  <c r="S45" i="9"/>
  <c r="T27" i="9"/>
  <c r="T55" i="9"/>
  <c r="T26" i="9"/>
  <c r="T32" i="9"/>
  <c r="T58" i="9"/>
  <c r="T31" i="9"/>
  <c r="T18" i="9"/>
  <c r="T23" i="9"/>
  <c r="T21" i="9"/>
  <c r="T17" i="9"/>
  <c r="T47" i="9"/>
  <c r="T7" i="9"/>
  <c r="T42" i="9"/>
  <c r="T61" i="9"/>
  <c r="T6" i="9"/>
  <c r="T11" i="9"/>
  <c r="T12" i="9"/>
  <c r="T20" i="9"/>
  <c r="T34" i="9"/>
  <c r="T35" i="9"/>
  <c r="T59" i="9"/>
  <c r="T8" i="9"/>
  <c r="T37" i="9"/>
  <c r="T41" i="9"/>
  <c r="T40" i="9"/>
  <c r="T60" i="9"/>
  <c r="T53" i="9"/>
  <c r="T16" i="9"/>
  <c r="T38" i="9"/>
  <c r="T10" i="9"/>
  <c r="T43" i="9"/>
  <c r="T4" i="9"/>
  <c r="T13" i="9"/>
  <c r="T25" i="9"/>
  <c r="T44" i="9"/>
  <c r="T49" i="9"/>
  <c r="T54" i="9"/>
  <c r="T50" i="9"/>
  <c r="T46" i="9"/>
  <c r="T15" i="9"/>
  <c r="T52" i="9"/>
  <c r="T3" i="9"/>
  <c r="T14" i="9"/>
  <c r="T28" i="9"/>
  <c r="T51" i="9"/>
  <c r="T2" i="9"/>
  <c r="T36" i="9"/>
  <c r="T56" i="9"/>
  <c r="T9" i="9"/>
  <c r="T39" i="9"/>
  <c r="T22" i="9"/>
  <c r="T24" i="9"/>
  <c r="T30" i="9"/>
  <c r="T48" i="9"/>
  <c r="T19" i="9"/>
  <c r="T29" i="9"/>
  <c r="T33" i="9" l="1"/>
  <c r="T45" i="9"/>
</calcChain>
</file>

<file path=xl/sharedStrings.xml><?xml version="1.0" encoding="utf-8"?>
<sst xmlns="http://schemas.openxmlformats.org/spreadsheetml/2006/main" count="100" uniqueCount="43">
  <si>
    <t>نوع گروه شغلی</t>
  </si>
  <si>
    <t>وضعیت تاهل</t>
  </si>
  <si>
    <t>روز</t>
  </si>
  <si>
    <t>حقوق ماهانه</t>
  </si>
  <si>
    <t>مسکن</t>
  </si>
  <si>
    <t>حق بن</t>
  </si>
  <si>
    <t>سنوات</t>
  </si>
  <si>
    <t>ذخیره مرخصی</t>
  </si>
  <si>
    <t>عیدی</t>
  </si>
  <si>
    <t>مجرد و متاهل</t>
  </si>
  <si>
    <t>تک فرزند</t>
  </si>
  <si>
    <t>دو فرزند</t>
  </si>
  <si>
    <t>اضافه کار</t>
  </si>
  <si>
    <t>جمع کل 1</t>
  </si>
  <si>
    <t>پایه سنوات</t>
  </si>
  <si>
    <t>نوبت کاری</t>
  </si>
  <si>
    <t>سختی کاروفوق العاده جذب</t>
  </si>
  <si>
    <t>بیمه سهم کارکنان(7%)</t>
  </si>
  <si>
    <t>بیمه سهم پیمانکار(23%)</t>
  </si>
  <si>
    <t>جمع کل 2</t>
  </si>
  <si>
    <t xml:space="preserve">مزد روزانه1402 </t>
  </si>
  <si>
    <t xml:space="preserve">مزد روزانه 1403 </t>
  </si>
  <si>
    <t>حق اولاد+حق تاهل</t>
  </si>
  <si>
    <t>گروه شغلی-1403-1</t>
  </si>
  <si>
    <t>گروه شغلی 2-1403</t>
  </si>
  <si>
    <t>گروه شغلی 3-1403</t>
  </si>
  <si>
    <t>گروه شغلی 4-1403</t>
  </si>
  <si>
    <t>گروه شغلی 5-1403</t>
  </si>
  <si>
    <t>گروه شغلی 6-1403</t>
  </si>
  <si>
    <t>گروه شغلی 7-1403</t>
  </si>
  <si>
    <t>گروه شغلی 8-1403</t>
  </si>
  <si>
    <t>گروه شغلی 9-1403</t>
  </si>
  <si>
    <t>گروه شغلی 10-1403</t>
  </si>
  <si>
    <t>گروه شغلی 11-1403</t>
  </si>
  <si>
    <t>گروه شغلی 12-1403</t>
  </si>
  <si>
    <t>گروه شغلی 13-1403</t>
  </si>
  <si>
    <t>گروه شغلی 14-1403</t>
  </si>
  <si>
    <t>گروه شغلی 15-1403</t>
  </si>
  <si>
    <t>گروه شغلی 16-1403</t>
  </si>
  <si>
    <t>گروه شغلی 17-1403</t>
  </si>
  <si>
    <t>گروه شغلی 18-1403</t>
  </si>
  <si>
    <t>گروه شغلی 19-1403</t>
  </si>
  <si>
    <t>گروه شغلی 20-1403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</si>
</sst>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#,##0.0;[Red]#,##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8"/>
      <color theme="1"/>
      <name val="B Nazanin"/>
      <charset val="178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indexed="8"/>
      <name val="Arial"/>
      <family val="2"/>
      <charset val="178"/>
    </font>
    <font>
      <sz val="18"/>
      <color theme="3"/>
      <name val="Cambria"/>
      <family val="2"/>
      <charset val="178"/>
      <scheme val="major"/>
    </font>
    <font>
      <sz val="11"/>
      <color theme="1"/>
      <name val="B Mitra"/>
      <charset val="178"/>
    </font>
    <font>
      <b/>
      <sz val="8"/>
      <color theme="1"/>
      <name val="B Mitra"/>
      <charset val="17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8" applyNumberFormat="0" applyAlignment="0" applyProtection="0"/>
    <xf numFmtId="0" fontId="10" fillId="6" borderId="9" applyNumberFormat="0" applyAlignment="0" applyProtection="0"/>
    <xf numFmtId="0" fontId="11" fillId="6" borderId="8" applyNumberFormat="0" applyAlignment="0" applyProtection="0"/>
    <xf numFmtId="0" fontId="12" fillId="0" borderId="10" applyNumberFormat="0" applyFill="0" applyAlignment="0" applyProtection="0"/>
    <xf numFmtId="0" fontId="13" fillId="7" borderId="1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8" borderId="12" applyNumberFormat="0" applyFont="0" applyAlignment="0" applyProtection="0"/>
    <xf numFmtId="0" fontId="19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164" fontId="2" fillId="33" borderId="1" xfId="0" applyNumberFormat="1" applyFont="1" applyFill="1" applyBorder="1" applyAlignment="1">
      <alignment horizontal="center" vertical="center" wrapText="1"/>
    </xf>
    <xf numFmtId="164" fontId="21" fillId="33" borderId="1" xfId="0" applyNumberFormat="1" applyFont="1" applyFill="1" applyBorder="1" applyAlignment="1">
      <alignment horizontal="center" vertical="center" wrapText="1"/>
    </xf>
    <xf numFmtId="164" fontId="2" fillId="34" borderId="2" xfId="0" applyNumberFormat="1" applyFont="1" applyFill="1" applyBorder="1" applyAlignment="1">
      <alignment horizontal="center" vertical="center"/>
    </xf>
    <xf numFmtId="164" fontId="2" fillId="34" borderId="1" xfId="0" applyNumberFormat="1" applyFont="1" applyFill="1" applyBorder="1" applyAlignment="1">
      <alignment horizontal="right" vertical="center"/>
    </xf>
    <xf numFmtId="164" fontId="2" fillId="34" borderId="1" xfId="0" applyNumberFormat="1" applyFont="1" applyFill="1" applyBorder="1" applyAlignment="1">
      <alignment horizontal="center" vertical="center"/>
    </xf>
    <xf numFmtId="165" fontId="2" fillId="34" borderId="1" xfId="0" applyNumberFormat="1" applyFont="1" applyFill="1" applyBorder="1" applyAlignment="1">
      <alignment horizontal="center" vertical="center"/>
    </xf>
    <xf numFmtId="164" fontId="2" fillId="34" borderId="1" xfId="0" applyNumberFormat="1" applyFont="1" applyFill="1" applyBorder="1" applyAlignment="1">
      <alignment horizontal="center"/>
    </xf>
    <xf numFmtId="164" fontId="20" fillId="34" borderId="1" xfId="0" applyNumberFormat="1" applyFont="1" applyFill="1" applyBorder="1" applyAlignment="1">
      <alignment horizontal="center" vertical="center"/>
    </xf>
    <xf numFmtId="164" fontId="2" fillId="34" borderId="3" xfId="0" applyNumberFormat="1" applyFont="1" applyFill="1" applyBorder="1" applyAlignment="1">
      <alignment horizontal="center" vertical="center"/>
    </xf>
    <xf numFmtId="164" fontId="2" fillId="34" borderId="1" xfId="0" applyNumberFormat="1" applyFont="1" applyFill="1" applyBorder="1" applyAlignment="1">
      <alignment horizontal="right"/>
    </xf>
    <xf numFmtId="165" fontId="2" fillId="34" borderId="1" xfId="0" applyNumberFormat="1" applyFont="1" applyFill="1" applyBorder="1" applyAlignment="1">
      <alignment horizontal="center"/>
    </xf>
    <xf numFmtId="164" fontId="2" fillId="34" borderId="4" xfId="0" applyNumberFormat="1" applyFont="1" applyFill="1" applyBorder="1" applyAlignment="1">
      <alignment horizontal="center" vertical="center"/>
    </xf>
  </cellXfs>
  <cellStyles count="43">
    <cellStyle name="20% - Accent1" xfId="17" builtinId="30" customBuiltin="1"/>
    <cellStyle name="20% - Accent2" xfId="21" builtinId="34" customBuiltin="1"/>
    <cellStyle name="20% - Accent3" xfId="25" builtinId="38" customBuiltin="1"/>
    <cellStyle name="20% - Accent4" xfId="29" builtinId="42" customBuiltin="1"/>
    <cellStyle name="20% - Accent5" xfId="33" builtinId="46" customBuiltin="1"/>
    <cellStyle name="20% - Accent6" xfId="37" builtinId="50" customBuiltin="1"/>
    <cellStyle name="40% - Accent1" xfId="18" builtinId="31" customBuiltin="1"/>
    <cellStyle name="40% - Accent2" xfId="22" builtinId="35" customBuiltin="1"/>
    <cellStyle name="40% - Accent3" xfId="26" builtinId="39" customBuiltin="1"/>
    <cellStyle name="40% - Accent4" xfId="30" builtinId="43" customBuiltin="1"/>
    <cellStyle name="40% - Accent5" xfId="34" builtinId="47" customBuiltin="1"/>
    <cellStyle name="40% - Accent6" xfId="38" builtinId="51" customBuiltin="1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25000000}"/>
    <cellStyle name="Note 2" xfId="41" xr:uid="{00000000-0005-0000-0000-000026000000}"/>
    <cellStyle name="Output" xfId="9" builtinId="21" customBuiltin="1"/>
    <cellStyle name="Title 2" xfId="42" xr:uid="{00000000-0005-0000-0000-000028000000}"/>
    <cellStyle name="Total" xfId="15" builtinId="25" customBuiltin="1"/>
    <cellStyle name="Warning Text" xfId="13" builtinId="11" customBuiltin="1"/>
  </cellStyles>
  <dxfs count="0"/>
  <tableStyles count="0" defaultTableStyle="TableStyleMedium9" defaultPivotStyle="PivotStyleLight16"/>
  <colors>
    <mruColors>
      <color rgb="FFFF99CC"/>
      <color rgb="FFFF9999"/>
      <color rgb="FFCCFF66"/>
      <color rgb="FFCC99FF"/>
      <color rgb="FFCCCCFF"/>
      <color rgb="FFFF99FF"/>
      <color rgb="FFFFCCCC"/>
      <color rgb="FFFFCCFF"/>
      <color rgb="FFCCFF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387BC-8E6A-417F-9E8C-B51BD1297C41}">
  <dimension ref="A1:T61"/>
  <sheetViews>
    <sheetView rightToLeft="1" tabSelected="1" topLeftCell="K1" zoomScale="110" zoomScaleNormal="110" workbookViewId="0">
      <selection activeCell="U65" sqref="U65"/>
    </sheetView>
  </sheetViews>
  <sheetFormatPr defaultRowHeight="15"/>
  <cols>
    <col min="1" max="1" width="16.5703125" customWidth="1"/>
    <col min="20" max="20" width="22.42578125" customWidth="1"/>
  </cols>
  <sheetData>
    <row r="1" spans="1:20" s="1" customFormat="1" ht="54" customHeight="1">
      <c r="A1" s="2" t="s">
        <v>0</v>
      </c>
      <c r="B1" s="2" t="s">
        <v>1</v>
      </c>
      <c r="C1" s="2" t="s">
        <v>20</v>
      </c>
      <c r="D1" s="2" t="s">
        <v>21</v>
      </c>
      <c r="E1" s="2" t="s">
        <v>2</v>
      </c>
      <c r="F1" s="2" t="s">
        <v>3</v>
      </c>
      <c r="G1" s="2" t="s">
        <v>14</v>
      </c>
      <c r="H1" s="2" t="s">
        <v>4</v>
      </c>
      <c r="I1" s="2" t="s">
        <v>5</v>
      </c>
      <c r="J1" s="2" t="s">
        <v>22</v>
      </c>
      <c r="K1" s="2" t="s">
        <v>6</v>
      </c>
      <c r="L1" s="2" t="s">
        <v>7</v>
      </c>
      <c r="M1" s="2" t="s">
        <v>8</v>
      </c>
      <c r="N1" s="2" t="s">
        <v>12</v>
      </c>
      <c r="O1" s="2" t="s">
        <v>15</v>
      </c>
      <c r="P1" s="2" t="s">
        <v>16</v>
      </c>
      <c r="Q1" s="2" t="s">
        <v>13</v>
      </c>
      <c r="R1" s="3" t="s">
        <v>17</v>
      </c>
      <c r="S1" s="3" t="s">
        <v>18</v>
      </c>
      <c r="T1" s="2" t="s">
        <v>19</v>
      </c>
    </row>
    <row r="2" spans="1:20" ht="17.25">
      <c r="A2" s="4" t="s">
        <v>23</v>
      </c>
      <c r="B2" s="5" t="s">
        <v>9</v>
      </c>
      <c r="C2" s="6">
        <v>1769428</v>
      </c>
      <c r="D2" s="6">
        <v>2388728</v>
      </c>
      <c r="E2" s="7">
        <v>30.5</v>
      </c>
      <c r="F2" s="6">
        <f>E2*D2</f>
        <v>72856204</v>
      </c>
      <c r="G2" s="6">
        <f>70000*30.5</f>
        <v>2135000</v>
      </c>
      <c r="H2" s="6">
        <v>9000000</v>
      </c>
      <c r="I2" s="6">
        <v>14000000</v>
      </c>
      <c r="J2" s="6">
        <v>0</v>
      </c>
      <c r="K2" s="6">
        <f t="shared" ref="K2:K23" si="0">(F2+G2)/12</f>
        <v>6249267</v>
      </c>
      <c r="L2" s="6">
        <f>(D2+G2/30.5)*9/12</f>
        <v>1844046</v>
      </c>
      <c r="M2" s="6">
        <f>(D2+G2/30.5)*60/12</f>
        <v>12293640</v>
      </c>
      <c r="N2" s="6">
        <f>(F2+G2)/220*1.4*0</f>
        <v>0</v>
      </c>
      <c r="O2" s="6">
        <f>0%*(F2+G2)</f>
        <v>0</v>
      </c>
      <c r="P2" s="6"/>
      <c r="Q2" s="8">
        <f t="shared" ref="Q2:Q4" si="1">SUM(F2:P2)</f>
        <v>118378157</v>
      </c>
      <c r="R2" s="9">
        <f>7%*(F2+G2+H2+I2+K2+N2+O2+P2)</f>
        <v>7296832.9700000007</v>
      </c>
      <c r="S2" s="9">
        <f>23%*(F2+G2+H2+I2+N2+O2+P2)</f>
        <v>22537976.920000002</v>
      </c>
      <c r="T2" s="9">
        <f>Q2+S2</f>
        <v>140916133.92000002</v>
      </c>
    </row>
    <row r="3" spans="1:20" ht="17.25">
      <c r="A3" s="10"/>
      <c r="B3" s="11" t="s">
        <v>10</v>
      </c>
      <c r="C3" s="6">
        <v>1769428</v>
      </c>
      <c r="D3" s="6">
        <v>2388728</v>
      </c>
      <c r="E3" s="12">
        <v>30.5</v>
      </c>
      <c r="F3" s="6">
        <f t="shared" ref="F3:F4" si="2">E3*D3</f>
        <v>72856204</v>
      </c>
      <c r="G3" s="6">
        <f t="shared" ref="G3:G4" si="3">70000*30.5</f>
        <v>2135000</v>
      </c>
      <c r="H3" s="6">
        <v>9000000</v>
      </c>
      <c r="I3" s="6">
        <v>14000000</v>
      </c>
      <c r="J3" s="8">
        <f>7166184+5000000</f>
        <v>12166184</v>
      </c>
      <c r="K3" s="6">
        <f t="shared" si="0"/>
        <v>6249267</v>
      </c>
      <c r="L3" s="6">
        <f t="shared" ref="L3:L61" si="4">(D3+G3/30.5)*9/12</f>
        <v>1844046</v>
      </c>
      <c r="M3" s="6">
        <f t="shared" ref="M3:M61" si="5">(D3+G3/30.5)*60/12</f>
        <v>12293640</v>
      </c>
      <c r="N3" s="6">
        <f t="shared" ref="N3:N24" si="6">(F3+G3)/220*1.4*0</f>
        <v>0</v>
      </c>
      <c r="O3" s="6">
        <f t="shared" ref="O3:O24" si="7">0%*(F3+G3)</f>
        <v>0</v>
      </c>
      <c r="P3" s="8"/>
      <c r="Q3" s="8">
        <f t="shared" si="1"/>
        <v>130544341</v>
      </c>
      <c r="R3" s="9">
        <f>7%*(F3+G3+H3+I3+K3+N3+O3+P3)</f>
        <v>7296832.9700000007</v>
      </c>
      <c r="S3" s="9">
        <f>23%*(F3+G3+H3+I3+N3+O3+P3)</f>
        <v>22537976.920000002</v>
      </c>
      <c r="T3" s="9">
        <f>Q3+S3</f>
        <v>153082317.92000002</v>
      </c>
    </row>
    <row r="4" spans="1:20" ht="17.25">
      <c r="A4" s="13"/>
      <c r="B4" s="11" t="s">
        <v>11</v>
      </c>
      <c r="C4" s="6">
        <v>1769428</v>
      </c>
      <c r="D4" s="6">
        <v>2388728</v>
      </c>
      <c r="E4" s="12">
        <v>30.5</v>
      </c>
      <c r="F4" s="6">
        <f t="shared" si="2"/>
        <v>72856204</v>
      </c>
      <c r="G4" s="6">
        <f t="shared" si="3"/>
        <v>2135000</v>
      </c>
      <c r="H4" s="6">
        <v>9000000</v>
      </c>
      <c r="I4" s="6">
        <v>14000000</v>
      </c>
      <c r="J4" s="8">
        <f>14332368+5000000</f>
        <v>19332368</v>
      </c>
      <c r="K4" s="6">
        <f t="shared" si="0"/>
        <v>6249267</v>
      </c>
      <c r="L4" s="6">
        <f t="shared" si="4"/>
        <v>1844046</v>
      </c>
      <c r="M4" s="6">
        <f t="shared" si="5"/>
        <v>12293640</v>
      </c>
      <c r="N4" s="6">
        <f t="shared" si="6"/>
        <v>0</v>
      </c>
      <c r="O4" s="6">
        <f t="shared" si="7"/>
        <v>0</v>
      </c>
      <c r="P4" s="8"/>
      <c r="Q4" s="8">
        <f t="shared" si="1"/>
        <v>137710525</v>
      </c>
      <c r="R4" s="9">
        <f>7%*(F4+G4+H4+I4+K4+N4+O4+P4)</f>
        <v>7296832.9700000007</v>
      </c>
      <c r="S4" s="9">
        <f>23%*(F4+G4+H4+I4+N4+O4+P4)</f>
        <v>22537976.920000002</v>
      </c>
      <c r="T4" s="9">
        <f>Q4+S4</f>
        <v>160248501.92000002</v>
      </c>
    </row>
    <row r="5" spans="1:20" ht="17.25">
      <c r="A5" s="4" t="s">
        <v>24</v>
      </c>
      <c r="B5" s="11" t="s">
        <v>9</v>
      </c>
      <c r="C5" s="6">
        <v>1773341.8238559244</v>
      </c>
      <c r="D5" s="6">
        <f>(C5*1.22)+230026</f>
        <v>2393503.0251042279</v>
      </c>
      <c r="E5" s="12">
        <v>30.5</v>
      </c>
      <c r="F5" s="6">
        <f>E5*D5</f>
        <v>73001842.265678957</v>
      </c>
      <c r="G5" s="8">
        <f>70200*30.5</f>
        <v>2141100</v>
      </c>
      <c r="H5" s="6">
        <v>9000000</v>
      </c>
      <c r="I5" s="6">
        <v>14000000</v>
      </c>
      <c r="J5" s="6">
        <v>0</v>
      </c>
      <c r="K5" s="6">
        <f t="shared" si="0"/>
        <v>6261911.8554732464</v>
      </c>
      <c r="L5" s="6">
        <f t="shared" si="4"/>
        <v>1847777.2688281711</v>
      </c>
      <c r="M5" s="6">
        <f t="shared" si="5"/>
        <v>12318515.12552114</v>
      </c>
      <c r="N5" s="6">
        <f t="shared" si="6"/>
        <v>0</v>
      </c>
      <c r="O5" s="6">
        <f t="shared" si="7"/>
        <v>0</v>
      </c>
      <c r="P5" s="8"/>
      <c r="Q5" s="8">
        <f t="shared" ref="Q5:Q16" si="8">SUM(F5:P5)</f>
        <v>118571146.51550151</v>
      </c>
      <c r="R5" s="9">
        <f>7%*(F5+G5+H5+I5+K5+N5+O5+P5)</f>
        <v>7308339.7884806553</v>
      </c>
      <c r="S5" s="9">
        <f>23%*(F5+G5+H5+I5+N5+O5+P5)</f>
        <v>22572876.72110616</v>
      </c>
      <c r="T5" s="9">
        <f>Q5+S5</f>
        <v>141144023.23660767</v>
      </c>
    </row>
    <row r="6" spans="1:20" ht="17.25">
      <c r="A6" s="10"/>
      <c r="B6" s="11" t="s">
        <v>10</v>
      </c>
      <c r="C6" s="6">
        <v>1773341.8238559244</v>
      </c>
      <c r="D6" s="6">
        <f t="shared" ref="D6:D61" si="9">(C6*1.22)+230026</f>
        <v>2393503.0251042279</v>
      </c>
      <c r="E6" s="12">
        <v>30.5</v>
      </c>
      <c r="F6" s="6">
        <f t="shared" ref="F6:F7" si="10">E6*D6</f>
        <v>73001842.265678957</v>
      </c>
      <c r="G6" s="8">
        <f t="shared" ref="G6:G7" si="11">70200*30.5</f>
        <v>2141100</v>
      </c>
      <c r="H6" s="6">
        <v>9000000</v>
      </c>
      <c r="I6" s="6">
        <v>14000000</v>
      </c>
      <c r="J6" s="8">
        <v>12166184</v>
      </c>
      <c r="K6" s="6">
        <f t="shared" si="0"/>
        <v>6261911.8554732464</v>
      </c>
      <c r="L6" s="6">
        <f t="shared" si="4"/>
        <v>1847777.2688281711</v>
      </c>
      <c r="M6" s="6">
        <f t="shared" si="5"/>
        <v>12318515.12552114</v>
      </c>
      <c r="N6" s="6">
        <f t="shared" si="6"/>
        <v>0</v>
      </c>
      <c r="O6" s="6">
        <f t="shared" si="7"/>
        <v>0</v>
      </c>
      <c r="P6" s="8"/>
      <c r="Q6" s="8">
        <f t="shared" si="8"/>
        <v>130737330.51550151</v>
      </c>
      <c r="R6" s="9">
        <f>7%*(F6+G6+H6+I6+K6+N6+O6+P6)</f>
        <v>7308339.7884806553</v>
      </c>
      <c r="S6" s="9">
        <f>23%*(F6+G6+H6+I6+N6+O6+P6)</f>
        <v>22572876.72110616</v>
      </c>
      <c r="T6" s="9">
        <f>Q6+S6</f>
        <v>153310207.23660767</v>
      </c>
    </row>
    <row r="7" spans="1:20" ht="17.25">
      <c r="A7" s="13"/>
      <c r="B7" s="11" t="s">
        <v>11</v>
      </c>
      <c r="C7" s="6">
        <v>1773341.8238559244</v>
      </c>
      <c r="D7" s="6">
        <f t="shared" si="9"/>
        <v>2393503.0251042279</v>
      </c>
      <c r="E7" s="12">
        <v>30.5</v>
      </c>
      <c r="F7" s="6">
        <f t="shared" si="10"/>
        <v>73001842.265678957</v>
      </c>
      <c r="G7" s="8">
        <f t="shared" si="11"/>
        <v>2141100</v>
      </c>
      <c r="H7" s="6">
        <v>9000000</v>
      </c>
      <c r="I7" s="6">
        <v>14000000</v>
      </c>
      <c r="J7" s="8">
        <v>19332368</v>
      </c>
      <c r="K7" s="6">
        <f t="shared" si="0"/>
        <v>6261911.8554732464</v>
      </c>
      <c r="L7" s="6">
        <f t="shared" si="4"/>
        <v>1847777.2688281711</v>
      </c>
      <c r="M7" s="6">
        <f t="shared" si="5"/>
        <v>12318515.12552114</v>
      </c>
      <c r="N7" s="6">
        <f t="shared" si="6"/>
        <v>0</v>
      </c>
      <c r="O7" s="6">
        <f t="shared" si="7"/>
        <v>0</v>
      </c>
      <c r="P7" s="8"/>
      <c r="Q7" s="8">
        <f t="shared" si="8"/>
        <v>137903514.51550153</v>
      </c>
      <c r="R7" s="9">
        <f>7%*(F7+G7+H7+I7+K7+N7+O7+P7)</f>
        <v>7308339.7884806553</v>
      </c>
      <c r="S7" s="9">
        <f>23%*(F7+G7+H7+I7+N7+O7+P7)</f>
        <v>22572876.72110616</v>
      </c>
      <c r="T7" s="9">
        <f>Q7+S7</f>
        <v>160476391.2366077</v>
      </c>
    </row>
    <row r="8" spans="1:20" ht="17.25">
      <c r="A8" s="4" t="s">
        <v>25</v>
      </c>
      <c r="B8" s="11" t="s">
        <v>9</v>
      </c>
      <c r="C8" s="6">
        <v>1777265.8160636837</v>
      </c>
      <c r="D8" s="6">
        <f t="shared" si="9"/>
        <v>2398290.2955976939</v>
      </c>
      <c r="E8" s="12">
        <v>30.5</v>
      </c>
      <c r="F8" s="6">
        <f>E8*D8</f>
        <v>73147854.015729666</v>
      </c>
      <c r="G8" s="8">
        <f>70400*30.5</f>
        <v>2147200</v>
      </c>
      <c r="H8" s="6">
        <v>9000000</v>
      </c>
      <c r="I8" s="6">
        <v>14000000</v>
      </c>
      <c r="J8" s="6">
        <v>0</v>
      </c>
      <c r="K8" s="6">
        <f t="shared" si="0"/>
        <v>6274587.8346441388</v>
      </c>
      <c r="L8" s="6">
        <f t="shared" si="4"/>
        <v>1851517.7216982704</v>
      </c>
      <c r="M8" s="6">
        <f t="shared" si="5"/>
        <v>12343451.477988468</v>
      </c>
      <c r="N8" s="6">
        <f t="shared" si="6"/>
        <v>0</v>
      </c>
      <c r="O8" s="6">
        <f t="shared" si="7"/>
        <v>0</v>
      </c>
      <c r="P8" s="8"/>
      <c r="Q8" s="8">
        <f t="shared" si="8"/>
        <v>118764611.05006054</v>
      </c>
      <c r="R8" s="9">
        <f>7%*(F8+G8+H8+I8+K8+N8+O8+P8)</f>
        <v>7319874.929526167</v>
      </c>
      <c r="S8" s="9">
        <f>23%*(F8+G8+H8+I8+N8+O8+P8)</f>
        <v>22607862.423617825</v>
      </c>
      <c r="T8" s="9">
        <f>Q8+S8</f>
        <v>141372473.47367835</v>
      </c>
    </row>
    <row r="9" spans="1:20" ht="17.25">
      <c r="A9" s="10"/>
      <c r="B9" s="11" t="s">
        <v>10</v>
      </c>
      <c r="C9" s="6">
        <v>1777265.8160636837</v>
      </c>
      <c r="D9" s="6">
        <f t="shared" si="9"/>
        <v>2398290.2955976939</v>
      </c>
      <c r="E9" s="12">
        <v>30.5</v>
      </c>
      <c r="F9" s="6">
        <f t="shared" ref="F9:F10" si="12">E9*D9</f>
        <v>73147854.015729666</v>
      </c>
      <c r="G9" s="8">
        <f t="shared" ref="G9:G10" si="13">70400*30.5</f>
        <v>2147200</v>
      </c>
      <c r="H9" s="6">
        <v>9000000</v>
      </c>
      <c r="I9" s="6">
        <v>14000000</v>
      </c>
      <c r="J9" s="8">
        <v>12166184</v>
      </c>
      <c r="K9" s="6">
        <f t="shared" si="0"/>
        <v>6274587.8346441388</v>
      </c>
      <c r="L9" s="6">
        <f t="shared" si="4"/>
        <v>1851517.7216982704</v>
      </c>
      <c r="M9" s="6">
        <f t="shared" si="5"/>
        <v>12343451.477988468</v>
      </c>
      <c r="N9" s="6">
        <f t="shared" si="6"/>
        <v>0</v>
      </c>
      <c r="O9" s="6">
        <f t="shared" si="7"/>
        <v>0</v>
      </c>
      <c r="P9" s="8"/>
      <c r="Q9" s="8">
        <f t="shared" si="8"/>
        <v>130930795.05006054</v>
      </c>
      <c r="R9" s="9">
        <f>7%*(F9+G9+H9+I9+K9+N9+O9+P9)</f>
        <v>7319874.929526167</v>
      </c>
      <c r="S9" s="9">
        <f>23%*(F9+G9+H9+I9+N9+O9+P9)</f>
        <v>22607862.423617825</v>
      </c>
      <c r="T9" s="9">
        <f>Q9+S9</f>
        <v>153538657.47367835</v>
      </c>
    </row>
    <row r="10" spans="1:20" ht="17.25">
      <c r="A10" s="13"/>
      <c r="B10" s="11" t="s">
        <v>11</v>
      </c>
      <c r="C10" s="6">
        <v>1777265.8160636837</v>
      </c>
      <c r="D10" s="6">
        <f t="shared" si="9"/>
        <v>2398290.2955976939</v>
      </c>
      <c r="E10" s="12">
        <v>30.5</v>
      </c>
      <c r="F10" s="6">
        <f t="shared" si="12"/>
        <v>73147854.015729666</v>
      </c>
      <c r="G10" s="8">
        <f t="shared" si="13"/>
        <v>2147200</v>
      </c>
      <c r="H10" s="6">
        <v>9000000</v>
      </c>
      <c r="I10" s="6">
        <v>14000000</v>
      </c>
      <c r="J10" s="8">
        <v>19332368</v>
      </c>
      <c r="K10" s="6">
        <f t="shared" si="0"/>
        <v>6274587.8346441388</v>
      </c>
      <c r="L10" s="6">
        <f t="shared" si="4"/>
        <v>1851517.7216982704</v>
      </c>
      <c r="M10" s="6">
        <f t="shared" si="5"/>
        <v>12343451.477988468</v>
      </c>
      <c r="N10" s="6">
        <f t="shared" si="6"/>
        <v>0</v>
      </c>
      <c r="O10" s="6">
        <f t="shared" si="7"/>
        <v>0</v>
      </c>
      <c r="P10" s="8"/>
      <c r="Q10" s="8">
        <f t="shared" si="8"/>
        <v>138096979.05006054</v>
      </c>
      <c r="R10" s="9">
        <f>7%*(F10+G10+H10+I10+K10+N10+O10+P10)</f>
        <v>7319874.929526167</v>
      </c>
      <c r="S10" s="9">
        <f>23%*(F10+G10+H10+I10+N10+O10+P10)</f>
        <v>22607862.423617825</v>
      </c>
      <c r="T10" s="9">
        <f>Q10+S10</f>
        <v>160704841.47367835</v>
      </c>
    </row>
    <row r="11" spans="1:20" ht="17.25">
      <c r="A11" s="4" t="s">
        <v>26</v>
      </c>
      <c r="B11" s="11" t="s">
        <v>9</v>
      </c>
      <c r="C11" s="6">
        <v>1781189.8082714437</v>
      </c>
      <c r="D11" s="6">
        <f t="shared" si="9"/>
        <v>2403077.5660911612</v>
      </c>
      <c r="E11" s="12">
        <v>30.5</v>
      </c>
      <c r="F11" s="6">
        <f>E11*D11</f>
        <v>73293865.765780419</v>
      </c>
      <c r="G11" s="8">
        <f>70600*30.5</f>
        <v>2153300</v>
      </c>
      <c r="H11" s="6">
        <v>9000000</v>
      </c>
      <c r="I11" s="6">
        <v>14000000</v>
      </c>
      <c r="J11" s="6">
        <v>0</v>
      </c>
      <c r="K11" s="6">
        <f t="shared" si="0"/>
        <v>6287263.8138150349</v>
      </c>
      <c r="L11" s="6">
        <f t="shared" si="4"/>
        <v>1855258.1745683709</v>
      </c>
      <c r="M11" s="6">
        <f t="shared" si="5"/>
        <v>12368387.830455804</v>
      </c>
      <c r="N11" s="6">
        <f t="shared" si="6"/>
        <v>0</v>
      </c>
      <c r="O11" s="6">
        <f t="shared" si="7"/>
        <v>0</v>
      </c>
      <c r="P11" s="8"/>
      <c r="Q11" s="8">
        <f t="shared" si="8"/>
        <v>118958075.58461963</v>
      </c>
      <c r="R11" s="9">
        <f>7%*(F11+G11+H11+I11+K11+N11+O11+P11)</f>
        <v>7331410.0705716824</v>
      </c>
      <c r="S11" s="9">
        <f>23%*(F11+G11+H11+I11+N11+O11+P11)</f>
        <v>22642848.126129497</v>
      </c>
      <c r="T11" s="9">
        <f>Q11+S11</f>
        <v>141600923.71074912</v>
      </c>
    </row>
    <row r="12" spans="1:20" ht="17.25">
      <c r="A12" s="10"/>
      <c r="B12" s="11" t="s">
        <v>10</v>
      </c>
      <c r="C12" s="6">
        <v>1781189.8082714437</v>
      </c>
      <c r="D12" s="6">
        <f t="shared" si="9"/>
        <v>2403077.5660911612</v>
      </c>
      <c r="E12" s="12">
        <v>30.5</v>
      </c>
      <c r="F12" s="6">
        <f t="shared" ref="F12:F13" si="14">E12*D12</f>
        <v>73293865.765780419</v>
      </c>
      <c r="G12" s="8">
        <f t="shared" ref="G12:G13" si="15">70600*30.5</f>
        <v>2153300</v>
      </c>
      <c r="H12" s="6">
        <v>9000000</v>
      </c>
      <c r="I12" s="6">
        <v>14000000</v>
      </c>
      <c r="J12" s="8">
        <v>12166184</v>
      </c>
      <c r="K12" s="6">
        <f t="shared" si="0"/>
        <v>6287263.8138150349</v>
      </c>
      <c r="L12" s="6">
        <f t="shared" si="4"/>
        <v>1855258.1745683709</v>
      </c>
      <c r="M12" s="6">
        <f t="shared" si="5"/>
        <v>12368387.830455804</v>
      </c>
      <c r="N12" s="6">
        <f>(F12+G12)/220*1.4*0</f>
        <v>0</v>
      </c>
      <c r="O12" s="6">
        <f t="shared" si="7"/>
        <v>0</v>
      </c>
      <c r="P12" s="8"/>
      <c r="Q12" s="8">
        <f t="shared" si="8"/>
        <v>131124259.58461963</v>
      </c>
      <c r="R12" s="9">
        <f>7%*(F12+G12+H12+I12+K12+N12+O12+P12)</f>
        <v>7331410.0705716824</v>
      </c>
      <c r="S12" s="9">
        <f>23%*(F12+G12+H12+I12+N12+O12+P12)</f>
        <v>22642848.126129497</v>
      </c>
      <c r="T12" s="9">
        <f>Q12+S12</f>
        <v>153767107.71074912</v>
      </c>
    </row>
    <row r="13" spans="1:20" ht="17.25">
      <c r="A13" s="13"/>
      <c r="B13" s="11" t="s">
        <v>11</v>
      </c>
      <c r="C13" s="6">
        <v>1781189.8082714437</v>
      </c>
      <c r="D13" s="6">
        <f t="shared" si="9"/>
        <v>2403077.5660911612</v>
      </c>
      <c r="E13" s="12">
        <v>30.5</v>
      </c>
      <c r="F13" s="6">
        <f t="shared" si="14"/>
        <v>73293865.765780419</v>
      </c>
      <c r="G13" s="8">
        <f t="shared" si="15"/>
        <v>2153300</v>
      </c>
      <c r="H13" s="6">
        <v>9000000</v>
      </c>
      <c r="I13" s="6">
        <v>14000000</v>
      </c>
      <c r="J13" s="8">
        <v>19332368</v>
      </c>
      <c r="K13" s="6">
        <f t="shared" si="0"/>
        <v>6287263.8138150349</v>
      </c>
      <c r="L13" s="6">
        <f t="shared" si="4"/>
        <v>1855258.1745683709</v>
      </c>
      <c r="M13" s="6">
        <f t="shared" si="5"/>
        <v>12368387.830455804</v>
      </c>
      <c r="N13" s="6">
        <f t="shared" ref="N13" si="16">(F13+G13)/220*1.4*0</f>
        <v>0</v>
      </c>
      <c r="O13" s="6">
        <f t="shared" si="7"/>
        <v>0</v>
      </c>
      <c r="P13" s="8"/>
      <c r="Q13" s="8">
        <f t="shared" si="8"/>
        <v>138290443.58461961</v>
      </c>
      <c r="R13" s="9">
        <f>7%*(F13+G13+H13+I13+K13+N13+O13+P13)</f>
        <v>7331410.0705716824</v>
      </c>
      <c r="S13" s="9">
        <f>23%*(F13+G13+H13+I13+N13+O13+P13)</f>
        <v>22642848.126129497</v>
      </c>
      <c r="T13" s="9">
        <f>Q13+S13</f>
        <v>160933291.71074912</v>
      </c>
    </row>
    <row r="14" spans="1:20" ht="17.25">
      <c r="A14" s="4" t="s">
        <v>27</v>
      </c>
      <c r="B14" s="11" t="s">
        <v>9</v>
      </c>
      <c r="C14" s="6">
        <v>1785123.9008452462</v>
      </c>
      <c r="D14" s="6">
        <f t="shared" si="9"/>
        <v>2407877.1590312002</v>
      </c>
      <c r="E14" s="12">
        <v>30.5</v>
      </c>
      <c r="F14" s="6">
        <f>E14*D14</f>
        <v>73440253.350451604</v>
      </c>
      <c r="G14" s="8">
        <f>70800*30.5</f>
        <v>2159400</v>
      </c>
      <c r="H14" s="6">
        <v>9000000</v>
      </c>
      <c r="I14" s="6">
        <v>14000000</v>
      </c>
      <c r="J14" s="6">
        <v>0</v>
      </c>
      <c r="K14" s="6">
        <f t="shared" si="0"/>
        <v>6299971.1125376336</v>
      </c>
      <c r="L14" s="6">
        <f t="shared" si="4"/>
        <v>1859007.8692734002</v>
      </c>
      <c r="M14" s="6">
        <f t="shared" si="5"/>
        <v>12393385.795156002</v>
      </c>
      <c r="N14" s="6">
        <f t="shared" si="6"/>
        <v>0</v>
      </c>
      <c r="O14" s="6">
        <f t="shared" si="7"/>
        <v>0</v>
      </c>
      <c r="P14" s="8"/>
      <c r="Q14" s="8">
        <f t="shared" si="8"/>
        <v>119152018.12741864</v>
      </c>
      <c r="R14" s="9">
        <f>7%*(F14+G14+H14+I14+K14+N14+O14+P14)</f>
        <v>7342973.7124092476</v>
      </c>
      <c r="S14" s="9">
        <f>23%*(F14+G14+H14+I14+N14+O14+P14)</f>
        <v>22677920.270603869</v>
      </c>
      <c r="T14" s="9">
        <f>Q14+S14</f>
        <v>141829938.3980225</v>
      </c>
    </row>
    <row r="15" spans="1:20" ht="17.25">
      <c r="A15" s="10"/>
      <c r="B15" s="11" t="s">
        <v>10</v>
      </c>
      <c r="C15" s="6">
        <v>1785123.9008452462</v>
      </c>
      <c r="D15" s="6">
        <f t="shared" si="9"/>
        <v>2407877.1590312002</v>
      </c>
      <c r="E15" s="12">
        <v>30.5</v>
      </c>
      <c r="F15" s="6">
        <f t="shared" ref="F15:F16" si="17">E15*D15</f>
        <v>73440253.350451604</v>
      </c>
      <c r="G15" s="8">
        <f t="shared" ref="G15:G16" si="18">70800*30.5</f>
        <v>2159400</v>
      </c>
      <c r="H15" s="6">
        <v>9000000</v>
      </c>
      <c r="I15" s="6">
        <v>14000000</v>
      </c>
      <c r="J15" s="8">
        <v>12166184</v>
      </c>
      <c r="K15" s="6">
        <f t="shared" si="0"/>
        <v>6299971.1125376336</v>
      </c>
      <c r="L15" s="6">
        <f t="shared" si="4"/>
        <v>1859007.8692734002</v>
      </c>
      <c r="M15" s="6">
        <f t="shared" si="5"/>
        <v>12393385.795156002</v>
      </c>
      <c r="N15" s="6">
        <f t="shared" si="6"/>
        <v>0</v>
      </c>
      <c r="O15" s="6">
        <f t="shared" si="7"/>
        <v>0</v>
      </c>
      <c r="P15" s="8"/>
      <c r="Q15" s="8">
        <f t="shared" si="8"/>
        <v>131318202.12741864</v>
      </c>
      <c r="R15" s="9">
        <f>7%*(F15+G15+H15+I15+K15+N15+O15+P15)</f>
        <v>7342973.7124092476</v>
      </c>
      <c r="S15" s="9">
        <f>23%*(F15+G15+H15+I15+N15+O15+P15)</f>
        <v>22677920.270603869</v>
      </c>
      <c r="T15" s="9">
        <f>Q15+S15</f>
        <v>153996122.3980225</v>
      </c>
    </row>
    <row r="16" spans="1:20" ht="17.25">
      <c r="A16" s="13"/>
      <c r="B16" s="11" t="s">
        <v>11</v>
      </c>
      <c r="C16" s="6">
        <v>1785123.9008452462</v>
      </c>
      <c r="D16" s="6">
        <f t="shared" si="9"/>
        <v>2407877.1590312002</v>
      </c>
      <c r="E16" s="12">
        <v>30.5</v>
      </c>
      <c r="F16" s="6">
        <f t="shared" si="17"/>
        <v>73440253.350451604</v>
      </c>
      <c r="G16" s="8">
        <f t="shared" si="18"/>
        <v>2159400</v>
      </c>
      <c r="H16" s="6">
        <v>9000000</v>
      </c>
      <c r="I16" s="6">
        <v>14000000</v>
      </c>
      <c r="J16" s="8">
        <v>19332368</v>
      </c>
      <c r="K16" s="6">
        <f t="shared" si="0"/>
        <v>6299971.1125376336</v>
      </c>
      <c r="L16" s="6">
        <f t="shared" si="4"/>
        <v>1859007.8692734002</v>
      </c>
      <c r="M16" s="6">
        <f t="shared" si="5"/>
        <v>12393385.795156002</v>
      </c>
      <c r="N16" s="6">
        <f t="shared" si="6"/>
        <v>0</v>
      </c>
      <c r="O16" s="6">
        <f t="shared" si="7"/>
        <v>0</v>
      </c>
      <c r="P16" s="8"/>
      <c r="Q16" s="8">
        <f t="shared" si="8"/>
        <v>138484386.12741864</v>
      </c>
      <c r="R16" s="9">
        <f>7%*(F16+G16+H16+I16+K16+N16+O16+P16)</f>
        <v>7342973.7124092476</v>
      </c>
      <c r="S16" s="9">
        <f>23%*(F16+G16+H16+I16+N16+O16+P16)</f>
        <v>22677920.270603869</v>
      </c>
      <c r="T16" s="9">
        <f>Q16+S16</f>
        <v>161162306.3980225</v>
      </c>
    </row>
    <row r="17" spans="1:20" ht="17.25">
      <c r="A17" s="4" t="s">
        <v>28</v>
      </c>
      <c r="B17" s="11" t="s">
        <v>9</v>
      </c>
      <c r="C17" s="6">
        <v>1790345.7900895497</v>
      </c>
      <c r="D17" s="6">
        <f t="shared" si="9"/>
        <v>2414247.8639092506</v>
      </c>
      <c r="E17" s="12">
        <v>30.5</v>
      </c>
      <c r="F17" s="6">
        <f>E17*D17</f>
        <v>73634559.849232137</v>
      </c>
      <c r="G17" s="8">
        <f>71000*30.5</f>
        <v>2165500</v>
      </c>
      <c r="H17" s="6">
        <v>9000000</v>
      </c>
      <c r="I17" s="6">
        <v>14000000</v>
      </c>
      <c r="J17" s="6">
        <v>0</v>
      </c>
      <c r="K17" s="6">
        <f t="shared" si="0"/>
        <v>6316671.6541026784</v>
      </c>
      <c r="L17" s="6">
        <f t="shared" si="4"/>
        <v>1863935.8979319381</v>
      </c>
      <c r="M17" s="6">
        <f t="shared" si="5"/>
        <v>12426239.319546252</v>
      </c>
      <c r="N17" s="6">
        <f t="shared" si="6"/>
        <v>0</v>
      </c>
      <c r="O17" s="6">
        <f t="shared" si="7"/>
        <v>0</v>
      </c>
      <c r="P17" s="8"/>
      <c r="Q17" s="8">
        <f t="shared" ref="Q17:Q19" si="19">SUM(F17:P17)</f>
        <v>119406906.72081301</v>
      </c>
      <c r="R17" s="9">
        <f>7%*(F17+G17+H17+I17+K17+N17+O17+P17)</f>
        <v>7358171.2052334379</v>
      </c>
      <c r="S17" s="9">
        <f>23%*(F17+G17+H17+I17+N17+O17+P17)</f>
        <v>22724013.765323393</v>
      </c>
      <c r="T17" s="9">
        <f>Q17+S17</f>
        <v>142130920.48613641</v>
      </c>
    </row>
    <row r="18" spans="1:20" ht="17.25">
      <c r="A18" s="10"/>
      <c r="B18" s="11" t="s">
        <v>10</v>
      </c>
      <c r="C18" s="6">
        <v>1790345.7900895497</v>
      </c>
      <c r="D18" s="6">
        <f t="shared" si="9"/>
        <v>2414247.8639092506</v>
      </c>
      <c r="E18" s="12">
        <v>30.5</v>
      </c>
      <c r="F18" s="6">
        <f t="shared" ref="F18:F19" si="20">E18*D18</f>
        <v>73634559.849232137</v>
      </c>
      <c r="G18" s="8">
        <f t="shared" ref="G18:G19" si="21">71000*30.5</f>
        <v>2165500</v>
      </c>
      <c r="H18" s="6">
        <v>9000000</v>
      </c>
      <c r="I18" s="6">
        <v>14000000</v>
      </c>
      <c r="J18" s="8">
        <v>12166184</v>
      </c>
      <c r="K18" s="6">
        <f t="shared" si="0"/>
        <v>6316671.6541026784</v>
      </c>
      <c r="L18" s="6">
        <f t="shared" si="4"/>
        <v>1863935.8979319381</v>
      </c>
      <c r="M18" s="6">
        <f t="shared" si="5"/>
        <v>12426239.319546252</v>
      </c>
      <c r="N18" s="6">
        <f t="shared" si="6"/>
        <v>0</v>
      </c>
      <c r="O18" s="6">
        <f t="shared" si="7"/>
        <v>0</v>
      </c>
      <c r="P18" s="8"/>
      <c r="Q18" s="8">
        <f t="shared" si="19"/>
        <v>131573090.72081301</v>
      </c>
      <c r="R18" s="9">
        <f>7%*(F18+G18+H18+I18+K18+N18+O18+P18)</f>
        <v>7358171.2052334379</v>
      </c>
      <c r="S18" s="9">
        <f>23%*(F18+G18+H18+I18+N18+O18+P18)</f>
        <v>22724013.765323393</v>
      </c>
      <c r="T18" s="9">
        <f>Q18+S18</f>
        <v>154297104.48613641</v>
      </c>
    </row>
    <row r="19" spans="1:20" ht="17.25">
      <c r="A19" s="13"/>
      <c r="B19" s="11" t="s">
        <v>11</v>
      </c>
      <c r="C19" s="6">
        <v>1790345.7900895497</v>
      </c>
      <c r="D19" s="6">
        <f t="shared" si="9"/>
        <v>2414247.8639092506</v>
      </c>
      <c r="E19" s="12">
        <v>30.5</v>
      </c>
      <c r="F19" s="6">
        <f t="shared" si="20"/>
        <v>73634559.849232137</v>
      </c>
      <c r="G19" s="8">
        <f t="shared" si="21"/>
        <v>2165500</v>
      </c>
      <c r="H19" s="6">
        <v>9000000</v>
      </c>
      <c r="I19" s="6">
        <v>14000000</v>
      </c>
      <c r="J19" s="8">
        <v>19332368</v>
      </c>
      <c r="K19" s="6">
        <f t="shared" si="0"/>
        <v>6316671.6541026784</v>
      </c>
      <c r="L19" s="6">
        <f t="shared" si="4"/>
        <v>1863935.8979319381</v>
      </c>
      <c r="M19" s="6">
        <f t="shared" si="5"/>
        <v>12426239.319546252</v>
      </c>
      <c r="N19" s="6">
        <f t="shared" si="6"/>
        <v>0</v>
      </c>
      <c r="O19" s="6">
        <f t="shared" si="7"/>
        <v>0</v>
      </c>
      <c r="P19" s="8"/>
      <c r="Q19" s="8">
        <f t="shared" si="19"/>
        <v>138739274.72081301</v>
      </c>
      <c r="R19" s="9">
        <f>7%*(F19+G19+H19+I19+K19+N19+O19+P19)</f>
        <v>7358171.2052334379</v>
      </c>
      <c r="S19" s="9">
        <f>23%*(F19+G19+H19+I19+N19+O19+P19)</f>
        <v>22724013.765323393</v>
      </c>
      <c r="T19" s="9">
        <f>Q19+S19</f>
        <v>161463288.48613641</v>
      </c>
    </row>
    <row r="20" spans="1:20" ht="17.25">
      <c r="A20" s="4" t="s">
        <v>29</v>
      </c>
      <c r="B20" s="11" t="s">
        <v>9</v>
      </c>
      <c r="C20" s="6">
        <v>1795577.7796998958</v>
      </c>
      <c r="D20" s="6">
        <f t="shared" si="9"/>
        <v>2420630.8912338726</v>
      </c>
      <c r="E20" s="12">
        <v>30.5</v>
      </c>
      <c r="F20" s="6">
        <f>E20*D20</f>
        <v>73829242.182633117</v>
      </c>
      <c r="G20" s="8">
        <f>71200*30.5</f>
        <v>2171600</v>
      </c>
      <c r="H20" s="6">
        <v>9000000</v>
      </c>
      <c r="I20" s="6">
        <v>14000000</v>
      </c>
      <c r="J20" s="6">
        <v>0</v>
      </c>
      <c r="K20" s="6">
        <f t="shared" si="0"/>
        <v>6333403.5152194267</v>
      </c>
      <c r="L20" s="6">
        <f t="shared" si="4"/>
        <v>1868873.1684254045</v>
      </c>
      <c r="M20" s="6">
        <f t="shared" si="5"/>
        <v>12459154.456169361</v>
      </c>
      <c r="N20" s="6">
        <f t="shared" si="6"/>
        <v>0</v>
      </c>
      <c r="O20" s="6">
        <f t="shared" si="7"/>
        <v>0</v>
      </c>
      <c r="P20" s="8"/>
      <c r="Q20" s="8">
        <f t="shared" ref="Q20:Q22" si="22">SUM(F20:P20)</f>
        <v>119662273.32244731</v>
      </c>
      <c r="R20" s="9">
        <f>7%*(F20+G20+H20+I20+K20+N20+O20+P20)</f>
        <v>7373397.198849678</v>
      </c>
      <c r="S20" s="9">
        <f>23%*(F20+G20+H20+I20+N20+O20+P20)</f>
        <v>22770193.702005617</v>
      </c>
      <c r="T20" s="9">
        <f>Q20+S20</f>
        <v>142432467.02445292</v>
      </c>
    </row>
    <row r="21" spans="1:20" ht="17.25">
      <c r="A21" s="10"/>
      <c r="B21" s="11" t="s">
        <v>10</v>
      </c>
      <c r="C21" s="6">
        <v>1795577.7796998958</v>
      </c>
      <c r="D21" s="6">
        <f t="shared" si="9"/>
        <v>2420630.8912338726</v>
      </c>
      <c r="E21" s="12">
        <v>30.5</v>
      </c>
      <c r="F21" s="6">
        <f t="shared" ref="F21:F22" si="23">E21*D21</f>
        <v>73829242.182633117</v>
      </c>
      <c r="G21" s="8">
        <f t="shared" ref="G21:G22" si="24">71200*30.5</f>
        <v>2171600</v>
      </c>
      <c r="H21" s="6">
        <v>9000000</v>
      </c>
      <c r="I21" s="6">
        <v>14000000</v>
      </c>
      <c r="J21" s="8">
        <v>12166184</v>
      </c>
      <c r="K21" s="6">
        <f t="shared" si="0"/>
        <v>6333403.5152194267</v>
      </c>
      <c r="L21" s="6">
        <f t="shared" si="4"/>
        <v>1868873.1684254045</v>
      </c>
      <c r="M21" s="6">
        <f t="shared" si="5"/>
        <v>12459154.456169361</v>
      </c>
      <c r="N21" s="6">
        <f t="shared" si="6"/>
        <v>0</v>
      </c>
      <c r="O21" s="6">
        <f t="shared" si="7"/>
        <v>0</v>
      </c>
      <c r="P21" s="8"/>
      <c r="Q21" s="8">
        <f t="shared" si="22"/>
        <v>131828457.32244731</v>
      </c>
      <c r="R21" s="9">
        <f>7%*(F21+G21+H21+I21+K21+N21+O21+P21)</f>
        <v>7373397.198849678</v>
      </c>
      <c r="S21" s="9">
        <f>23%*(F21+G21+H21+I21+N21+O21+P21)</f>
        <v>22770193.702005617</v>
      </c>
      <c r="T21" s="9">
        <f>Q21+S21</f>
        <v>154598651.02445292</v>
      </c>
    </row>
    <row r="22" spans="1:20" ht="17.25">
      <c r="A22" s="13"/>
      <c r="B22" s="11" t="s">
        <v>11</v>
      </c>
      <c r="C22" s="6">
        <v>1795577.7796998958</v>
      </c>
      <c r="D22" s="6">
        <f t="shared" si="9"/>
        <v>2420630.8912338726</v>
      </c>
      <c r="E22" s="12">
        <v>30.5</v>
      </c>
      <c r="F22" s="6">
        <f t="shared" si="23"/>
        <v>73829242.182633117</v>
      </c>
      <c r="G22" s="8">
        <f t="shared" si="24"/>
        <v>2171600</v>
      </c>
      <c r="H22" s="6">
        <v>9000000</v>
      </c>
      <c r="I22" s="6">
        <v>14000000</v>
      </c>
      <c r="J22" s="8">
        <v>19332368</v>
      </c>
      <c r="K22" s="6">
        <f t="shared" si="0"/>
        <v>6333403.5152194267</v>
      </c>
      <c r="L22" s="6">
        <f t="shared" si="4"/>
        <v>1868873.1684254045</v>
      </c>
      <c r="M22" s="6">
        <f t="shared" si="5"/>
        <v>12459154.456169361</v>
      </c>
      <c r="N22" s="6">
        <f t="shared" si="6"/>
        <v>0</v>
      </c>
      <c r="O22" s="6">
        <f t="shared" si="7"/>
        <v>0</v>
      </c>
      <c r="P22" s="8"/>
      <c r="Q22" s="8">
        <f t="shared" si="22"/>
        <v>138994641.3224473</v>
      </c>
      <c r="R22" s="9">
        <f>7%*(F22+G22+H22+I22+K22+N22+O22+P22)</f>
        <v>7373397.198849678</v>
      </c>
      <c r="S22" s="9">
        <f>23%*(F22+G22+H22+I22+N22+O22+P22)</f>
        <v>22770193.702005617</v>
      </c>
      <c r="T22" s="9">
        <f>Q22+S22</f>
        <v>161764835.02445292</v>
      </c>
    </row>
    <row r="23" spans="1:20" ht="17.25">
      <c r="A23" s="4" t="s">
        <v>30</v>
      </c>
      <c r="B23" s="11" t="s">
        <v>9</v>
      </c>
      <c r="C23" s="6">
        <v>1800819.8696762852</v>
      </c>
      <c r="D23" s="6">
        <f t="shared" si="9"/>
        <v>2427026.2410050677</v>
      </c>
      <c r="E23" s="12">
        <v>30.5</v>
      </c>
      <c r="F23" s="6">
        <f>E23*D23</f>
        <v>74024300.350654572</v>
      </c>
      <c r="G23" s="8">
        <f>71400*30.5</f>
        <v>2177700</v>
      </c>
      <c r="H23" s="6">
        <v>9000000</v>
      </c>
      <c r="I23" s="6">
        <v>14000000</v>
      </c>
      <c r="J23" s="6">
        <v>0</v>
      </c>
      <c r="K23" s="6">
        <f t="shared" si="0"/>
        <v>6350166.6958878813</v>
      </c>
      <c r="L23" s="6">
        <f t="shared" si="4"/>
        <v>1873819.6807538008</v>
      </c>
      <c r="M23" s="6">
        <f t="shared" si="5"/>
        <v>12492131.205025338</v>
      </c>
      <c r="N23" s="6">
        <f t="shared" si="6"/>
        <v>0</v>
      </c>
      <c r="O23" s="6">
        <f t="shared" si="7"/>
        <v>0</v>
      </c>
      <c r="P23" s="8"/>
      <c r="Q23" s="8">
        <f t="shared" ref="Q23:Q25" si="25">SUM(F23:P23)</f>
        <v>119918117.93232158</v>
      </c>
      <c r="R23" s="9">
        <f>7%*(F23+G23+H23+I23+K23+N23+O23+P23)</f>
        <v>7388651.6932579726</v>
      </c>
      <c r="S23" s="9">
        <f>23%*(F23+G23+H23+I23+N23+O23+P23)</f>
        <v>22816460.080650553</v>
      </c>
      <c r="T23" s="9">
        <f>Q23+S23</f>
        <v>142734578.01297212</v>
      </c>
    </row>
    <row r="24" spans="1:20" ht="17.25">
      <c r="A24" s="10"/>
      <c r="B24" s="11" t="s">
        <v>10</v>
      </c>
      <c r="C24" s="6">
        <v>1800819.8696762852</v>
      </c>
      <c r="D24" s="6">
        <f t="shared" si="9"/>
        <v>2427026.2410050677</v>
      </c>
      <c r="E24" s="12">
        <v>30.5</v>
      </c>
      <c r="F24" s="6">
        <f t="shared" ref="F24:F25" si="26">E24*D24</f>
        <v>74024300.350654572</v>
      </c>
      <c r="G24" s="8">
        <f t="shared" ref="G24:G25" si="27">71400*30.5</f>
        <v>2177700</v>
      </c>
      <c r="H24" s="6">
        <v>9000000</v>
      </c>
      <c r="I24" s="6">
        <v>14000000</v>
      </c>
      <c r="J24" s="8">
        <v>12166184</v>
      </c>
      <c r="K24" s="6">
        <f t="shared" ref="K24:K45" si="28">(F24+G24)/12</f>
        <v>6350166.6958878813</v>
      </c>
      <c r="L24" s="6">
        <f t="shared" si="4"/>
        <v>1873819.6807538008</v>
      </c>
      <c r="M24" s="6">
        <f t="shared" si="5"/>
        <v>12492131.205025338</v>
      </c>
      <c r="N24" s="6">
        <f t="shared" si="6"/>
        <v>0</v>
      </c>
      <c r="O24" s="6">
        <f t="shared" si="7"/>
        <v>0</v>
      </c>
      <c r="P24" s="8"/>
      <c r="Q24" s="8">
        <f t="shared" si="25"/>
        <v>132084301.93232158</v>
      </c>
      <c r="R24" s="9">
        <f>7%*(F24+G24+H24+I24+K24+N24+O24+P24)</f>
        <v>7388651.6932579726</v>
      </c>
      <c r="S24" s="9">
        <f>23%*(F24+G24+H24+I24+N24+O24+P24)</f>
        <v>22816460.080650553</v>
      </c>
      <c r="T24" s="9">
        <f>Q24+S24</f>
        <v>154900762.01297212</v>
      </c>
    </row>
    <row r="25" spans="1:20" ht="17.25">
      <c r="A25" s="13"/>
      <c r="B25" s="11" t="s">
        <v>11</v>
      </c>
      <c r="C25" s="6">
        <v>1800819.8696762852</v>
      </c>
      <c r="D25" s="6">
        <f t="shared" si="9"/>
        <v>2427026.2410050677</v>
      </c>
      <c r="E25" s="12">
        <v>30.5</v>
      </c>
      <c r="F25" s="6">
        <f t="shared" si="26"/>
        <v>74024300.350654572</v>
      </c>
      <c r="G25" s="8">
        <f t="shared" si="27"/>
        <v>2177700</v>
      </c>
      <c r="H25" s="6">
        <v>9000000</v>
      </c>
      <c r="I25" s="6">
        <v>14000000</v>
      </c>
      <c r="J25" s="8">
        <v>19332368</v>
      </c>
      <c r="K25" s="6">
        <f t="shared" si="28"/>
        <v>6350166.6958878813</v>
      </c>
      <c r="L25" s="6">
        <f t="shared" si="4"/>
        <v>1873819.6807538008</v>
      </c>
      <c r="M25" s="6">
        <f t="shared" si="5"/>
        <v>12492131.205025338</v>
      </c>
      <c r="N25" s="6">
        <f t="shared" ref="N25:N46" si="29">(F25+G25)/220*1.4*0</f>
        <v>0</v>
      </c>
      <c r="O25" s="6">
        <f t="shared" ref="O25:O46" si="30">0%*(F25+G25)</f>
        <v>0</v>
      </c>
      <c r="P25" s="8"/>
      <c r="Q25" s="8">
        <f t="shared" si="25"/>
        <v>139250485.93232158</v>
      </c>
      <c r="R25" s="9">
        <f>7%*(F25+G25+H25+I25+K25+N25+O25+P25)</f>
        <v>7388651.6932579726</v>
      </c>
      <c r="S25" s="9">
        <f>23%*(F25+G25+H25+I25+N25+O25+P25)</f>
        <v>22816460.080650553</v>
      </c>
      <c r="T25" s="9">
        <f>Q25+S25</f>
        <v>162066946.01297212</v>
      </c>
    </row>
    <row r="26" spans="1:20" ht="17.25">
      <c r="A26" s="4" t="s">
        <v>31</v>
      </c>
      <c r="B26" s="11" t="s">
        <v>9</v>
      </c>
      <c r="C26" s="6">
        <v>1807354.8065061965</v>
      </c>
      <c r="D26" s="6">
        <f t="shared" si="9"/>
        <v>2434998.8639375595</v>
      </c>
      <c r="E26" s="12">
        <v>30.5</v>
      </c>
      <c r="F26" s="6">
        <f>E26*D26</f>
        <v>74267465.35009557</v>
      </c>
      <c r="G26" s="8">
        <f>71600*30.5</f>
        <v>2183800</v>
      </c>
      <c r="H26" s="6">
        <v>9000000</v>
      </c>
      <c r="I26" s="6">
        <v>14000000</v>
      </c>
      <c r="J26" s="6">
        <v>0</v>
      </c>
      <c r="K26" s="6">
        <f t="shared" si="28"/>
        <v>6370938.7791746305</v>
      </c>
      <c r="L26" s="6">
        <f t="shared" si="4"/>
        <v>1879949.1479531697</v>
      </c>
      <c r="M26" s="6">
        <f t="shared" si="5"/>
        <v>12532994.319687799</v>
      </c>
      <c r="N26" s="6">
        <f t="shared" si="29"/>
        <v>0</v>
      </c>
      <c r="O26" s="6">
        <f t="shared" si="30"/>
        <v>0</v>
      </c>
      <c r="P26" s="8"/>
      <c r="Q26" s="8">
        <f t="shared" ref="Q26:Q28" si="31">SUM(F26:P26)</f>
        <v>120235147.59691116</v>
      </c>
      <c r="R26" s="9">
        <f>7%*(F26+G26+H26+I26+K26+N26+O26+P26)</f>
        <v>7407554.2890489148</v>
      </c>
      <c r="S26" s="9">
        <f>23%*(F26+G26+H26+I26+N26+O26+P26)</f>
        <v>22873791.030521981</v>
      </c>
      <c r="T26" s="9">
        <f>Q26+S26</f>
        <v>143108938.62743315</v>
      </c>
    </row>
    <row r="27" spans="1:20" ht="17.25">
      <c r="A27" s="10"/>
      <c r="B27" s="11" t="s">
        <v>10</v>
      </c>
      <c r="C27" s="6">
        <v>1807354.8065061965</v>
      </c>
      <c r="D27" s="6">
        <f t="shared" si="9"/>
        <v>2434998.8639375595</v>
      </c>
      <c r="E27" s="12">
        <v>30.5</v>
      </c>
      <c r="F27" s="6">
        <f t="shared" ref="F27:F28" si="32">E27*D27</f>
        <v>74267465.35009557</v>
      </c>
      <c r="G27" s="8">
        <f t="shared" ref="G27:G28" si="33">71600*30.5</f>
        <v>2183800</v>
      </c>
      <c r="H27" s="6">
        <v>9000000</v>
      </c>
      <c r="I27" s="6">
        <v>14000000</v>
      </c>
      <c r="J27" s="8">
        <v>12166184</v>
      </c>
      <c r="K27" s="6">
        <f t="shared" si="28"/>
        <v>6370938.7791746305</v>
      </c>
      <c r="L27" s="6">
        <f t="shared" si="4"/>
        <v>1879949.1479531697</v>
      </c>
      <c r="M27" s="6">
        <f t="shared" si="5"/>
        <v>12532994.319687799</v>
      </c>
      <c r="N27" s="6">
        <f t="shared" si="29"/>
        <v>0</v>
      </c>
      <c r="O27" s="6">
        <f t="shared" si="30"/>
        <v>0</v>
      </c>
      <c r="P27" s="8"/>
      <c r="Q27" s="8">
        <f t="shared" si="31"/>
        <v>132401331.59691116</v>
      </c>
      <c r="R27" s="9">
        <f>7%*(F27+G27+H27+I27+K27+N27+O27+P27)</f>
        <v>7407554.2890489148</v>
      </c>
      <c r="S27" s="9">
        <f>23%*(F27+G27+H27+I27+N27+O27+P27)</f>
        <v>22873791.030521981</v>
      </c>
      <c r="T27" s="9">
        <f>Q27+S27</f>
        <v>155275122.62743315</v>
      </c>
    </row>
    <row r="28" spans="1:20" ht="17.25">
      <c r="A28" s="13"/>
      <c r="B28" s="11" t="s">
        <v>11</v>
      </c>
      <c r="C28" s="6">
        <v>1807354.8065061965</v>
      </c>
      <c r="D28" s="6">
        <f t="shared" si="9"/>
        <v>2434998.8639375595</v>
      </c>
      <c r="E28" s="12">
        <v>30.5</v>
      </c>
      <c r="F28" s="6">
        <f t="shared" si="32"/>
        <v>74267465.35009557</v>
      </c>
      <c r="G28" s="8">
        <f t="shared" si="33"/>
        <v>2183800</v>
      </c>
      <c r="H28" s="6">
        <v>9000000</v>
      </c>
      <c r="I28" s="6">
        <v>14000000</v>
      </c>
      <c r="J28" s="8">
        <v>19332368</v>
      </c>
      <c r="K28" s="6">
        <f t="shared" si="28"/>
        <v>6370938.7791746305</v>
      </c>
      <c r="L28" s="6">
        <f t="shared" si="4"/>
        <v>1879949.1479531697</v>
      </c>
      <c r="M28" s="6">
        <f t="shared" si="5"/>
        <v>12532994.319687799</v>
      </c>
      <c r="N28" s="6">
        <f t="shared" si="29"/>
        <v>0</v>
      </c>
      <c r="O28" s="6">
        <f t="shared" si="30"/>
        <v>0</v>
      </c>
      <c r="P28" s="8"/>
      <c r="Q28" s="8">
        <f t="shared" si="31"/>
        <v>139567515.59691116</v>
      </c>
      <c r="R28" s="9">
        <f>7%*(F28+G28+H28+I28+K28+N28+O28+P28)</f>
        <v>7407554.2890489148</v>
      </c>
      <c r="S28" s="9">
        <f>23%*(F28+G28+H28+I28+N28+O28+P28)</f>
        <v>22873791.030521981</v>
      </c>
      <c r="T28" s="9">
        <f>Q28+S28</f>
        <v>162441306.62743315</v>
      </c>
    </row>
    <row r="29" spans="1:20" ht="18" customHeight="1">
      <c r="A29" s="4" t="s">
        <v>32</v>
      </c>
      <c r="B29" s="11" t="s">
        <v>9</v>
      </c>
      <c r="C29" s="6">
        <v>1813899.8437021505</v>
      </c>
      <c r="D29" s="6">
        <f t="shared" si="9"/>
        <v>2442983.8093166235</v>
      </c>
      <c r="E29" s="12">
        <v>30.5</v>
      </c>
      <c r="F29" s="6">
        <f>E29*D29</f>
        <v>74511006.184157014</v>
      </c>
      <c r="G29" s="8">
        <f>71800*30.5</f>
        <v>2189900</v>
      </c>
      <c r="H29" s="6">
        <v>9000000</v>
      </c>
      <c r="I29" s="6">
        <v>14000000</v>
      </c>
      <c r="J29" s="6">
        <v>0</v>
      </c>
      <c r="K29" s="6">
        <f t="shared" si="28"/>
        <v>6391742.1820130842</v>
      </c>
      <c r="L29" s="6">
        <f t="shared" si="4"/>
        <v>1886087.8569874677</v>
      </c>
      <c r="M29" s="6">
        <f t="shared" si="5"/>
        <v>12573919.046583118</v>
      </c>
      <c r="N29" s="6">
        <f t="shared" si="29"/>
        <v>0</v>
      </c>
      <c r="O29" s="6">
        <f t="shared" si="30"/>
        <v>0</v>
      </c>
      <c r="P29" s="8"/>
      <c r="Q29" s="8">
        <f t="shared" ref="Q29" si="34">SUM(F29:P29)</f>
        <v>120552655.26974067</v>
      </c>
      <c r="R29" s="9">
        <f>7%*(F29+G29+H29+I29+K29+N29+O29+P29)</f>
        <v>7426485.3856319068</v>
      </c>
      <c r="S29" s="9">
        <f>23%*(F29+G29+H29+I29+N29+O29+P29)</f>
        <v>22931208.422356114</v>
      </c>
      <c r="T29" s="9">
        <f>Q29+S29</f>
        <v>143483863.69209677</v>
      </c>
    </row>
    <row r="30" spans="1:20" ht="18" customHeight="1">
      <c r="A30" s="10"/>
      <c r="B30" s="11" t="s">
        <v>10</v>
      </c>
      <c r="C30" s="6">
        <v>1813899.8437021505</v>
      </c>
      <c r="D30" s="6">
        <f t="shared" si="9"/>
        <v>2442983.8093166235</v>
      </c>
      <c r="E30" s="12">
        <v>30.5</v>
      </c>
      <c r="F30" s="6">
        <f t="shared" ref="F30:F31" si="35">E30*D30</f>
        <v>74511006.184157014</v>
      </c>
      <c r="G30" s="8">
        <f t="shared" ref="G30:G31" si="36">71800*30.5</f>
        <v>2189900</v>
      </c>
      <c r="H30" s="6">
        <v>9000000</v>
      </c>
      <c r="I30" s="6">
        <v>14000000</v>
      </c>
      <c r="J30" s="8">
        <v>12166184</v>
      </c>
      <c r="K30" s="6">
        <f t="shared" si="28"/>
        <v>6391742.1820130842</v>
      </c>
      <c r="L30" s="6">
        <f t="shared" si="4"/>
        <v>1886087.8569874677</v>
      </c>
      <c r="M30" s="6">
        <f t="shared" si="5"/>
        <v>12573919.046583118</v>
      </c>
      <c r="N30" s="6">
        <f t="shared" si="29"/>
        <v>0</v>
      </c>
      <c r="O30" s="6">
        <f t="shared" si="30"/>
        <v>0</v>
      </c>
      <c r="P30" s="8"/>
      <c r="Q30" s="8">
        <f t="shared" ref="Q30:Q31" si="37">SUM(F30:P30)</f>
        <v>132718839.26974067</v>
      </c>
      <c r="R30" s="9">
        <f>7%*(F30+G30+H30+I30+K30+N30+O30+P30)</f>
        <v>7426485.3856319068</v>
      </c>
      <c r="S30" s="9">
        <f>23%*(F30+G30+H30+I30+N30+O30+P30)</f>
        <v>22931208.422356114</v>
      </c>
      <c r="T30" s="9">
        <f>Q30+S30</f>
        <v>155650047.69209677</v>
      </c>
    </row>
    <row r="31" spans="1:20" ht="18" customHeight="1">
      <c r="A31" s="13"/>
      <c r="B31" s="11" t="s">
        <v>11</v>
      </c>
      <c r="C31" s="6">
        <v>1813899.8437021505</v>
      </c>
      <c r="D31" s="6">
        <f t="shared" si="9"/>
        <v>2442983.8093166235</v>
      </c>
      <c r="E31" s="12">
        <v>30.5</v>
      </c>
      <c r="F31" s="6">
        <f t="shared" si="35"/>
        <v>74511006.184157014</v>
      </c>
      <c r="G31" s="8">
        <f t="shared" si="36"/>
        <v>2189900</v>
      </c>
      <c r="H31" s="6">
        <v>9000000</v>
      </c>
      <c r="I31" s="6">
        <v>14000000</v>
      </c>
      <c r="J31" s="8">
        <v>19332368</v>
      </c>
      <c r="K31" s="6">
        <f t="shared" si="28"/>
        <v>6391742.1820130842</v>
      </c>
      <c r="L31" s="6">
        <f t="shared" si="4"/>
        <v>1886087.8569874677</v>
      </c>
      <c r="M31" s="6">
        <f t="shared" si="5"/>
        <v>12573919.046583118</v>
      </c>
      <c r="N31" s="6">
        <f t="shared" si="29"/>
        <v>0</v>
      </c>
      <c r="O31" s="6">
        <f t="shared" si="30"/>
        <v>0</v>
      </c>
      <c r="P31" s="8"/>
      <c r="Q31" s="8">
        <f t="shared" si="37"/>
        <v>139885023.26974067</v>
      </c>
      <c r="R31" s="9">
        <f>7%*(F31+G31+H31+I31+K31+N31+O31+P31)</f>
        <v>7426485.3856319068</v>
      </c>
      <c r="S31" s="9">
        <f>23%*(F31+G31+H31+I31+N31+O31+P31)</f>
        <v>22931208.422356114</v>
      </c>
      <c r="T31" s="9">
        <f>Q31+S31</f>
        <v>162816231.69209677</v>
      </c>
    </row>
    <row r="32" spans="1:20" ht="17.25">
      <c r="A32" s="4" t="s">
        <v>33</v>
      </c>
      <c r="B32" s="11" t="s">
        <v>9</v>
      </c>
      <c r="C32" s="6">
        <v>1821742.7779346483</v>
      </c>
      <c r="D32" s="6">
        <f t="shared" si="9"/>
        <v>2452552.1890802709</v>
      </c>
      <c r="E32" s="12">
        <v>30.5</v>
      </c>
      <c r="F32" s="6">
        <f>E32*D32</f>
        <v>74802841.766948268</v>
      </c>
      <c r="G32" s="8">
        <f>72000*30.5</f>
        <v>2196000</v>
      </c>
      <c r="H32" s="6">
        <v>9000000</v>
      </c>
      <c r="I32" s="6">
        <v>14000000</v>
      </c>
      <c r="J32" s="6">
        <v>0</v>
      </c>
      <c r="K32" s="6">
        <f t="shared" si="28"/>
        <v>6416570.1472456893</v>
      </c>
      <c r="L32" s="6">
        <f t="shared" si="4"/>
        <v>1893414.1418102032</v>
      </c>
      <c r="M32" s="6">
        <f t="shared" si="5"/>
        <v>12622760.945401356</v>
      </c>
      <c r="N32" s="6">
        <f t="shared" si="29"/>
        <v>0</v>
      </c>
      <c r="O32" s="6">
        <f t="shared" si="30"/>
        <v>0</v>
      </c>
      <c r="P32" s="8"/>
      <c r="Q32" s="8">
        <f t="shared" ref="Q32:Q34" si="38">SUM(F32:P32)</f>
        <v>120931587.00140552</v>
      </c>
      <c r="R32" s="9">
        <f>7%*(F32+G32+H32+I32+K32+N32+O32+P32)</f>
        <v>7449078.8339935774</v>
      </c>
      <c r="S32" s="9">
        <f>23%*(F32+G32+H32+I32+N32+O32+P32)</f>
        <v>22999733.606398102</v>
      </c>
      <c r="T32" s="9">
        <f>Q32+S32</f>
        <v>143931320.60780361</v>
      </c>
    </row>
    <row r="33" spans="1:20" ht="17.25">
      <c r="A33" s="10"/>
      <c r="B33" s="11" t="s">
        <v>10</v>
      </c>
      <c r="C33" s="6">
        <v>1821742.7779346483</v>
      </c>
      <c r="D33" s="6">
        <f t="shared" si="9"/>
        <v>2452552.1890802709</v>
      </c>
      <c r="E33" s="12">
        <v>30.5</v>
      </c>
      <c r="F33" s="6">
        <f t="shared" ref="F33:F34" si="39">E33*D33</f>
        <v>74802841.766948268</v>
      </c>
      <c r="G33" s="8">
        <f t="shared" ref="G33:G34" si="40">72000*30.5</f>
        <v>2196000</v>
      </c>
      <c r="H33" s="6">
        <v>9000000</v>
      </c>
      <c r="I33" s="6">
        <v>14000000</v>
      </c>
      <c r="J33" s="8">
        <v>12166184</v>
      </c>
      <c r="K33" s="6">
        <f t="shared" si="28"/>
        <v>6416570.1472456893</v>
      </c>
      <c r="L33" s="6">
        <f t="shared" si="4"/>
        <v>1893414.1418102032</v>
      </c>
      <c r="M33" s="6">
        <f t="shared" si="5"/>
        <v>12622760.945401356</v>
      </c>
      <c r="N33" s="6">
        <f t="shared" si="29"/>
        <v>0</v>
      </c>
      <c r="O33" s="6">
        <f t="shared" si="30"/>
        <v>0</v>
      </c>
      <c r="P33" s="8"/>
      <c r="Q33" s="8">
        <f t="shared" si="38"/>
        <v>133097771.00140552</v>
      </c>
      <c r="R33" s="9">
        <f>7%*(F33+G33+H33+I33+K33+N33+O33+P33)</f>
        <v>7449078.8339935774</v>
      </c>
      <c r="S33" s="9">
        <f>23%*(F33+G33+H33+I33+N33+O33+P33)</f>
        <v>22999733.606398102</v>
      </c>
      <c r="T33" s="9">
        <f>Q33+S33</f>
        <v>156097504.60780361</v>
      </c>
    </row>
    <row r="34" spans="1:20" ht="17.25">
      <c r="A34" s="13"/>
      <c r="B34" s="11" t="s">
        <v>11</v>
      </c>
      <c r="C34" s="6">
        <v>1821742.7779346483</v>
      </c>
      <c r="D34" s="6">
        <f t="shared" si="9"/>
        <v>2452552.1890802709</v>
      </c>
      <c r="E34" s="12">
        <v>30.5</v>
      </c>
      <c r="F34" s="6">
        <f t="shared" si="39"/>
        <v>74802841.766948268</v>
      </c>
      <c r="G34" s="8">
        <f t="shared" si="40"/>
        <v>2196000</v>
      </c>
      <c r="H34" s="6">
        <v>9000000</v>
      </c>
      <c r="I34" s="6">
        <v>14000000</v>
      </c>
      <c r="J34" s="8">
        <v>19332368</v>
      </c>
      <c r="K34" s="6">
        <f t="shared" si="28"/>
        <v>6416570.1472456893</v>
      </c>
      <c r="L34" s="6">
        <f t="shared" si="4"/>
        <v>1893414.1418102032</v>
      </c>
      <c r="M34" s="6">
        <f t="shared" si="5"/>
        <v>12622760.945401356</v>
      </c>
      <c r="N34" s="6">
        <f t="shared" si="29"/>
        <v>0</v>
      </c>
      <c r="O34" s="6">
        <f t="shared" si="30"/>
        <v>0</v>
      </c>
      <c r="P34" s="8"/>
      <c r="Q34" s="8">
        <f t="shared" si="38"/>
        <v>140263955.00140554</v>
      </c>
      <c r="R34" s="9">
        <f>7%*(F34+G34+H34+I34+K34+N34+O34+P34)</f>
        <v>7449078.8339935774</v>
      </c>
      <c r="S34" s="9">
        <f>23%*(F34+G34+H34+I34+N34+O34+P34)</f>
        <v>22999733.606398102</v>
      </c>
      <c r="T34" s="9">
        <f>Q34+S34</f>
        <v>163263688.60780364</v>
      </c>
    </row>
    <row r="35" spans="1:20" ht="17.25">
      <c r="A35" s="4" t="s">
        <v>34</v>
      </c>
      <c r="B35" s="11" t="s">
        <v>9</v>
      </c>
      <c r="C35" s="6">
        <v>1829600.8627162108</v>
      </c>
      <c r="D35" s="6">
        <f t="shared" si="9"/>
        <v>2462139.0525137773</v>
      </c>
      <c r="E35" s="12">
        <v>30.5</v>
      </c>
      <c r="F35" s="6">
        <f>E35*D35</f>
        <v>75095241.101670206</v>
      </c>
      <c r="G35" s="8">
        <f>72400*30.5</f>
        <v>2208200</v>
      </c>
      <c r="H35" s="6">
        <v>9000000</v>
      </c>
      <c r="I35" s="6">
        <v>14000000</v>
      </c>
      <c r="J35" s="6">
        <v>0</v>
      </c>
      <c r="K35" s="6">
        <f t="shared" si="28"/>
        <v>6441953.4251391841</v>
      </c>
      <c r="L35" s="6">
        <f t="shared" si="4"/>
        <v>1900904.289385333</v>
      </c>
      <c r="M35" s="6">
        <f t="shared" si="5"/>
        <v>12672695.262568885</v>
      </c>
      <c r="N35" s="6">
        <f t="shared" si="29"/>
        <v>0</v>
      </c>
      <c r="O35" s="6">
        <f t="shared" si="30"/>
        <v>0</v>
      </c>
      <c r="P35" s="8"/>
      <c r="Q35" s="8">
        <f t="shared" ref="Q35:Q37" si="41">SUM(F35:P35)</f>
        <v>121318994.07876362</v>
      </c>
      <c r="R35" s="9">
        <f>7%*(F35+G35+H35+I35+K35+N35+O35+P35)</f>
        <v>7472177.6168766581</v>
      </c>
      <c r="S35" s="9">
        <f>23%*(F35+G35+H35+I35+N35+O35+P35)</f>
        <v>23069791.45338415</v>
      </c>
      <c r="T35" s="9">
        <f>Q35+S35</f>
        <v>144388785.53214777</v>
      </c>
    </row>
    <row r="36" spans="1:20" ht="17.25">
      <c r="A36" s="10"/>
      <c r="B36" s="11" t="s">
        <v>10</v>
      </c>
      <c r="C36" s="6">
        <v>1829600.8627162108</v>
      </c>
      <c r="D36" s="6">
        <f t="shared" si="9"/>
        <v>2462139.0525137773</v>
      </c>
      <c r="E36" s="12">
        <v>30.5</v>
      </c>
      <c r="F36" s="6">
        <f t="shared" ref="F36:F37" si="42">E36*D36</f>
        <v>75095241.101670206</v>
      </c>
      <c r="G36" s="8">
        <f t="shared" ref="G36:G37" si="43">72400*30.5</f>
        <v>2208200</v>
      </c>
      <c r="H36" s="6">
        <v>9000000</v>
      </c>
      <c r="I36" s="6">
        <v>14000000</v>
      </c>
      <c r="J36" s="8">
        <v>12166184</v>
      </c>
      <c r="K36" s="6">
        <f t="shared" si="28"/>
        <v>6441953.4251391841</v>
      </c>
      <c r="L36" s="6">
        <f t="shared" si="4"/>
        <v>1900904.289385333</v>
      </c>
      <c r="M36" s="6">
        <f t="shared" si="5"/>
        <v>12672695.262568885</v>
      </c>
      <c r="N36" s="6">
        <f t="shared" si="29"/>
        <v>0</v>
      </c>
      <c r="O36" s="6">
        <f t="shared" si="30"/>
        <v>0</v>
      </c>
      <c r="P36" s="8"/>
      <c r="Q36" s="8">
        <f t="shared" si="41"/>
        <v>133485178.07876362</v>
      </c>
      <c r="R36" s="9">
        <f>7%*(F36+G36+H36+I36+K36+N36+O36+P36)</f>
        <v>7472177.6168766581</v>
      </c>
      <c r="S36" s="9">
        <f>23%*(F36+G36+H36+I36+N36+O36+P36)</f>
        <v>23069791.45338415</v>
      </c>
      <c r="T36" s="9">
        <f>Q36+S36</f>
        <v>156554969.53214777</v>
      </c>
    </row>
    <row r="37" spans="1:20" ht="17.25">
      <c r="A37" s="13"/>
      <c r="B37" s="11" t="s">
        <v>11</v>
      </c>
      <c r="C37" s="6">
        <v>1829600.8627162108</v>
      </c>
      <c r="D37" s="6">
        <f t="shared" si="9"/>
        <v>2462139.0525137773</v>
      </c>
      <c r="E37" s="12">
        <v>30.5</v>
      </c>
      <c r="F37" s="6">
        <f t="shared" si="42"/>
        <v>75095241.101670206</v>
      </c>
      <c r="G37" s="8">
        <f t="shared" si="43"/>
        <v>2208200</v>
      </c>
      <c r="H37" s="6">
        <v>9000000</v>
      </c>
      <c r="I37" s="6">
        <v>14000000</v>
      </c>
      <c r="J37" s="8">
        <v>19332368</v>
      </c>
      <c r="K37" s="6">
        <f t="shared" si="28"/>
        <v>6441953.4251391841</v>
      </c>
      <c r="L37" s="6">
        <f t="shared" si="4"/>
        <v>1900904.289385333</v>
      </c>
      <c r="M37" s="6">
        <f t="shared" si="5"/>
        <v>12672695.262568885</v>
      </c>
      <c r="N37" s="6">
        <f t="shared" si="29"/>
        <v>0</v>
      </c>
      <c r="O37" s="6">
        <f t="shared" si="30"/>
        <v>0</v>
      </c>
      <c r="P37" s="8"/>
      <c r="Q37" s="8">
        <f t="shared" si="41"/>
        <v>140651362.0787636</v>
      </c>
      <c r="R37" s="9">
        <f>7%*(F37+G37+H37+I37+K37+N37+O37+P37)</f>
        <v>7472177.6168766581</v>
      </c>
      <c r="S37" s="9">
        <f>23%*(F37+G37+H37+I37+N37+O37+P37)</f>
        <v>23069791.45338415</v>
      </c>
      <c r="T37" s="9">
        <f>Q37+S37</f>
        <v>163721153.53214777</v>
      </c>
    </row>
    <row r="38" spans="1:20" ht="17.25">
      <c r="A38" s="4" t="s">
        <v>35</v>
      </c>
      <c r="B38" s="11" t="s">
        <v>9</v>
      </c>
      <c r="C38" s="6">
        <v>1837448.8471317301</v>
      </c>
      <c r="D38" s="6">
        <f t="shared" si="9"/>
        <v>2471713.5935007106</v>
      </c>
      <c r="E38" s="12">
        <v>30.5</v>
      </c>
      <c r="F38" s="6">
        <f>E38*D38</f>
        <v>75387264.601771668</v>
      </c>
      <c r="G38" s="8">
        <f>72800*30.5</f>
        <v>2220400</v>
      </c>
      <c r="H38" s="6">
        <v>9000000</v>
      </c>
      <c r="I38" s="6">
        <v>14000000</v>
      </c>
      <c r="J38" s="6">
        <v>0</v>
      </c>
      <c r="K38" s="6">
        <f t="shared" si="28"/>
        <v>6467305.3834809726</v>
      </c>
      <c r="L38" s="6">
        <f t="shared" si="4"/>
        <v>1908385.195125533</v>
      </c>
      <c r="M38" s="6">
        <f t="shared" si="5"/>
        <v>12722567.967503553</v>
      </c>
      <c r="N38" s="6">
        <f t="shared" si="29"/>
        <v>0</v>
      </c>
      <c r="O38" s="6">
        <f t="shared" si="30"/>
        <v>0</v>
      </c>
      <c r="P38" s="8"/>
      <c r="Q38" s="8">
        <f t="shared" ref="Q38:Q40" si="44">SUM(F38:P38)</f>
        <v>121705923.14788172</v>
      </c>
      <c r="R38" s="9">
        <f>7%*(F38+G38+H38+I38+K38+N38+O38+P38)</f>
        <v>7495247.8989676852</v>
      </c>
      <c r="S38" s="9">
        <f>23%*(F38+G38+H38+I38+N38+O38+P38)</f>
        <v>23139762.858407486</v>
      </c>
      <c r="T38" s="9">
        <f>Q38+S38</f>
        <v>144845686.00628921</v>
      </c>
    </row>
    <row r="39" spans="1:20" ht="17.25">
      <c r="A39" s="10"/>
      <c r="B39" s="11" t="s">
        <v>10</v>
      </c>
      <c r="C39" s="6">
        <v>1837448.8471317301</v>
      </c>
      <c r="D39" s="6">
        <f t="shared" si="9"/>
        <v>2471713.5935007106</v>
      </c>
      <c r="E39" s="12">
        <v>30.5</v>
      </c>
      <c r="F39" s="6">
        <f t="shared" ref="F39:F40" si="45">E39*D39</f>
        <v>75387264.601771668</v>
      </c>
      <c r="G39" s="8">
        <f t="shared" ref="G39:G40" si="46">72800*30.5</f>
        <v>2220400</v>
      </c>
      <c r="H39" s="6">
        <v>9000000</v>
      </c>
      <c r="I39" s="6">
        <v>14000000</v>
      </c>
      <c r="J39" s="8">
        <v>12166184</v>
      </c>
      <c r="K39" s="6">
        <f t="shared" si="28"/>
        <v>6467305.3834809726</v>
      </c>
      <c r="L39" s="6">
        <f t="shared" si="4"/>
        <v>1908385.195125533</v>
      </c>
      <c r="M39" s="6">
        <f t="shared" si="5"/>
        <v>12722567.967503553</v>
      </c>
      <c r="N39" s="6">
        <f t="shared" si="29"/>
        <v>0</v>
      </c>
      <c r="O39" s="6">
        <f t="shared" si="30"/>
        <v>0</v>
      </c>
      <c r="P39" s="8"/>
      <c r="Q39" s="8">
        <f t="shared" si="44"/>
        <v>133872107.14788172</v>
      </c>
      <c r="R39" s="9">
        <f>7%*(F39+G39+H39+I39+K39+N39+O39+P39)</f>
        <v>7495247.8989676852</v>
      </c>
      <c r="S39" s="9">
        <f>23%*(F39+G39+H39+I39+N39+O39+P39)</f>
        <v>23139762.858407486</v>
      </c>
      <c r="T39" s="9">
        <f>Q39+S39</f>
        <v>157011870.00628921</v>
      </c>
    </row>
    <row r="40" spans="1:20" ht="17.25">
      <c r="A40" s="13"/>
      <c r="B40" s="11" t="s">
        <v>11</v>
      </c>
      <c r="C40" s="6">
        <v>1837448.8471317301</v>
      </c>
      <c r="D40" s="6">
        <f t="shared" si="9"/>
        <v>2471713.5935007106</v>
      </c>
      <c r="E40" s="12">
        <v>30.5</v>
      </c>
      <c r="F40" s="6">
        <f t="shared" si="45"/>
        <v>75387264.601771668</v>
      </c>
      <c r="G40" s="8">
        <f t="shared" si="46"/>
        <v>2220400</v>
      </c>
      <c r="H40" s="6">
        <v>9000000</v>
      </c>
      <c r="I40" s="6">
        <v>14000000</v>
      </c>
      <c r="J40" s="8">
        <v>19332368</v>
      </c>
      <c r="K40" s="6">
        <f t="shared" si="28"/>
        <v>6467305.3834809726</v>
      </c>
      <c r="L40" s="6">
        <f t="shared" si="4"/>
        <v>1908385.195125533</v>
      </c>
      <c r="M40" s="6">
        <f t="shared" si="5"/>
        <v>12722567.967503553</v>
      </c>
      <c r="N40" s="6">
        <f t="shared" si="29"/>
        <v>0</v>
      </c>
      <c r="O40" s="6">
        <f t="shared" si="30"/>
        <v>0</v>
      </c>
      <c r="P40" s="8"/>
      <c r="Q40" s="8">
        <f t="shared" si="44"/>
        <v>141038291.14788172</v>
      </c>
      <c r="R40" s="9">
        <f>7%*(F40+G40+H40+I40+K40+N40+O40+P40)</f>
        <v>7495247.8989676852</v>
      </c>
      <c r="S40" s="9">
        <f>23%*(F40+G40+H40+I40+N40+O40+P40)</f>
        <v>23139762.858407486</v>
      </c>
      <c r="T40" s="9">
        <f>Q40+S40</f>
        <v>164178054.00628921</v>
      </c>
    </row>
    <row r="41" spans="1:20" ht="17.25">
      <c r="A41" s="4" t="s">
        <v>36</v>
      </c>
      <c r="B41" s="11" t="s">
        <v>9</v>
      </c>
      <c r="C41" s="6">
        <v>1847902.7259863792</v>
      </c>
      <c r="D41" s="6">
        <f t="shared" si="9"/>
        <v>2484467.3257033825</v>
      </c>
      <c r="E41" s="12">
        <v>31</v>
      </c>
      <c r="F41" s="6">
        <f>E41*D41</f>
        <v>77018487.096804857</v>
      </c>
      <c r="G41" s="8">
        <f>73200*30.5</f>
        <v>2232600</v>
      </c>
      <c r="H41" s="6">
        <v>9000000</v>
      </c>
      <c r="I41" s="6">
        <v>14000000</v>
      </c>
      <c r="J41" s="6">
        <v>0</v>
      </c>
      <c r="K41" s="6">
        <f t="shared" si="28"/>
        <v>6604257.2580670714</v>
      </c>
      <c r="L41" s="6">
        <f t="shared" si="4"/>
        <v>1918250.4942775369</v>
      </c>
      <c r="M41" s="6">
        <f t="shared" si="5"/>
        <v>12788336.628516912</v>
      </c>
      <c r="N41" s="6">
        <f t="shared" si="29"/>
        <v>0</v>
      </c>
      <c r="O41" s="6">
        <f t="shared" si="30"/>
        <v>0</v>
      </c>
      <c r="P41" s="8"/>
      <c r="Q41" s="8">
        <f t="shared" ref="Q41:Q43" si="47">SUM(F41:P41)</f>
        <v>123561931.47766638</v>
      </c>
      <c r="R41" s="9">
        <f>7%*(F41+G41+H41+I41+K41+N41+O41+P41)</f>
        <v>7619874.1048410358</v>
      </c>
      <c r="S41" s="9">
        <f>23%*(F41+G41+H41+I41+N41+O41+P41)</f>
        <v>23517750.032265119</v>
      </c>
      <c r="T41" s="9">
        <f>Q41+S41</f>
        <v>147079681.5099315</v>
      </c>
    </row>
    <row r="42" spans="1:20" ht="17.25">
      <c r="A42" s="10"/>
      <c r="B42" s="11" t="s">
        <v>10</v>
      </c>
      <c r="C42" s="6">
        <v>1847902.7259863792</v>
      </c>
      <c r="D42" s="6">
        <f t="shared" si="9"/>
        <v>2484467.3257033825</v>
      </c>
      <c r="E42" s="12">
        <v>30.5</v>
      </c>
      <c r="F42" s="6">
        <f t="shared" ref="F42:F43" si="48">E42*D42</f>
        <v>75776253.433953166</v>
      </c>
      <c r="G42" s="8">
        <f t="shared" ref="G42:G43" si="49">73200*30.5</f>
        <v>2232600</v>
      </c>
      <c r="H42" s="6">
        <v>9000000</v>
      </c>
      <c r="I42" s="6">
        <v>14000000</v>
      </c>
      <c r="J42" s="8">
        <v>12166184</v>
      </c>
      <c r="K42" s="6">
        <f t="shared" si="28"/>
        <v>6500737.7861627638</v>
      </c>
      <c r="L42" s="6">
        <f t="shared" si="4"/>
        <v>1918250.4942775369</v>
      </c>
      <c r="M42" s="6">
        <f t="shared" si="5"/>
        <v>12788336.628516912</v>
      </c>
      <c r="N42" s="6">
        <f>(F42+G42)/220*1.4*0</f>
        <v>0</v>
      </c>
      <c r="O42" s="6">
        <f t="shared" si="30"/>
        <v>0</v>
      </c>
      <c r="P42" s="8"/>
      <c r="Q42" s="8">
        <f t="shared" si="47"/>
        <v>134382362.34291038</v>
      </c>
      <c r="R42" s="9">
        <f>7%*(F42+G42+H42+I42+K42+N42+O42+P42)</f>
        <v>7525671.3854081156</v>
      </c>
      <c r="S42" s="9">
        <f>23%*(F42+G42+H42+I42+N42+O42+P42)</f>
        <v>23232036.289809231</v>
      </c>
      <c r="T42" s="9">
        <f>Q42+S42</f>
        <v>157614398.63271961</v>
      </c>
    </row>
    <row r="43" spans="1:20" ht="17.25">
      <c r="A43" s="13"/>
      <c r="B43" s="11" t="s">
        <v>11</v>
      </c>
      <c r="C43" s="6">
        <v>1847902.7259863792</v>
      </c>
      <c r="D43" s="6">
        <f t="shared" si="9"/>
        <v>2484467.3257033825</v>
      </c>
      <c r="E43" s="12">
        <v>30.5</v>
      </c>
      <c r="F43" s="6">
        <f t="shared" si="48"/>
        <v>75776253.433953166</v>
      </c>
      <c r="G43" s="8">
        <f t="shared" si="49"/>
        <v>2232600</v>
      </c>
      <c r="H43" s="6">
        <v>9000000</v>
      </c>
      <c r="I43" s="6">
        <v>14000000</v>
      </c>
      <c r="J43" s="8">
        <v>19332368</v>
      </c>
      <c r="K43" s="6">
        <f t="shared" si="28"/>
        <v>6500737.7861627638</v>
      </c>
      <c r="L43" s="6">
        <f t="shared" si="4"/>
        <v>1918250.4942775369</v>
      </c>
      <c r="M43" s="6">
        <f t="shared" si="5"/>
        <v>12788336.628516912</v>
      </c>
      <c r="N43" s="6">
        <f t="shared" ref="N43" si="50">(F43+G43)/220*1.4*0</f>
        <v>0</v>
      </c>
      <c r="O43" s="6">
        <f t="shared" si="30"/>
        <v>0</v>
      </c>
      <c r="P43" s="8"/>
      <c r="Q43" s="8">
        <f t="shared" si="47"/>
        <v>141548546.34291038</v>
      </c>
      <c r="R43" s="9">
        <f>7%*(F43+G43+H43+I43+K43+N43+O43+P43)</f>
        <v>7525671.3854081156</v>
      </c>
      <c r="S43" s="9">
        <f>23%*(F43+G43+H43+I43+N43+O43+P43)</f>
        <v>23232036.289809231</v>
      </c>
      <c r="T43" s="9">
        <f>Q43+S43</f>
        <v>164780582.63271961</v>
      </c>
    </row>
    <row r="44" spans="1:20" ht="17.25">
      <c r="A44" s="4" t="s">
        <v>37</v>
      </c>
      <c r="B44" s="11" t="s">
        <v>9</v>
      </c>
      <c r="C44" s="6">
        <v>1858366.705207072</v>
      </c>
      <c r="D44" s="6">
        <f t="shared" si="9"/>
        <v>2497233.380352628</v>
      </c>
      <c r="E44" s="12">
        <v>30.5</v>
      </c>
      <c r="F44" s="6">
        <f>E44*D44</f>
        <v>76165618.100755155</v>
      </c>
      <c r="G44" s="8">
        <f>73600*30.5</f>
        <v>2244800</v>
      </c>
      <c r="H44" s="6">
        <v>9000000</v>
      </c>
      <c r="I44" s="6">
        <v>14000000</v>
      </c>
      <c r="J44" s="6">
        <v>0</v>
      </c>
      <c r="K44" s="6">
        <f t="shared" si="28"/>
        <v>6534201.5083962632</v>
      </c>
      <c r="L44" s="6">
        <f t="shared" si="4"/>
        <v>1928125.0352644708</v>
      </c>
      <c r="M44" s="6">
        <f t="shared" si="5"/>
        <v>12854166.901763139</v>
      </c>
      <c r="N44" s="6">
        <f t="shared" si="29"/>
        <v>0</v>
      </c>
      <c r="O44" s="6">
        <f t="shared" si="30"/>
        <v>0</v>
      </c>
      <c r="P44" s="8"/>
      <c r="Q44" s="8">
        <f t="shared" ref="Q44:Q46" si="51">SUM(F44:P44)</f>
        <v>122726911.54617904</v>
      </c>
      <c r="R44" s="9">
        <f>7%*(F44+G44+H44+I44+K44+N44+O44+P44)</f>
        <v>7556123.3726406004</v>
      </c>
      <c r="S44" s="9">
        <f>23%*(F44+G44+H44+I44+N44+O44+P44)</f>
        <v>23324396.163173687</v>
      </c>
      <c r="T44" s="9">
        <f>Q44+S44</f>
        <v>146051307.70935273</v>
      </c>
    </row>
    <row r="45" spans="1:20" ht="17.25">
      <c r="A45" s="10"/>
      <c r="B45" s="11" t="s">
        <v>10</v>
      </c>
      <c r="C45" s="6">
        <v>1858366.705207072</v>
      </c>
      <c r="D45" s="6">
        <f t="shared" si="9"/>
        <v>2497233.380352628</v>
      </c>
      <c r="E45" s="12">
        <v>30.5</v>
      </c>
      <c r="F45" s="6">
        <f t="shared" ref="F45:F46" si="52">E45*D45</f>
        <v>76165618.100755155</v>
      </c>
      <c r="G45" s="8">
        <f t="shared" ref="G45:G46" si="53">73600*30.5</f>
        <v>2244800</v>
      </c>
      <c r="H45" s="6">
        <v>9000000</v>
      </c>
      <c r="I45" s="6">
        <v>14000000</v>
      </c>
      <c r="J45" s="8">
        <v>12166184</v>
      </c>
      <c r="K45" s="6">
        <f t="shared" si="28"/>
        <v>6534201.5083962632</v>
      </c>
      <c r="L45" s="6">
        <f t="shared" si="4"/>
        <v>1928125.0352644708</v>
      </c>
      <c r="M45" s="6">
        <f t="shared" si="5"/>
        <v>12854166.901763139</v>
      </c>
      <c r="N45" s="6">
        <f t="shared" si="29"/>
        <v>0</v>
      </c>
      <c r="O45" s="6">
        <f t="shared" si="30"/>
        <v>0</v>
      </c>
      <c r="P45" s="8"/>
      <c r="Q45" s="8">
        <f t="shared" si="51"/>
        <v>134893095.54617903</v>
      </c>
      <c r="R45" s="9">
        <f>7%*(F45+G45+H45+I45+K45+N45+O45+P45)</f>
        <v>7556123.3726406004</v>
      </c>
      <c r="S45" s="9">
        <f>23%*(F45+G45+H45+I45+N45+O45+P45)</f>
        <v>23324396.163173687</v>
      </c>
      <c r="T45" s="9">
        <f>Q45+S45</f>
        <v>158217491.7093527</v>
      </c>
    </row>
    <row r="46" spans="1:20" ht="17.25">
      <c r="A46" s="13"/>
      <c r="B46" s="11" t="s">
        <v>11</v>
      </c>
      <c r="C46" s="6">
        <v>1858366.705207072</v>
      </c>
      <c r="D46" s="6">
        <f t="shared" si="9"/>
        <v>2497233.380352628</v>
      </c>
      <c r="E46" s="12">
        <v>30.5</v>
      </c>
      <c r="F46" s="6">
        <f t="shared" si="52"/>
        <v>76165618.100755155</v>
      </c>
      <c r="G46" s="8">
        <f t="shared" si="53"/>
        <v>2244800</v>
      </c>
      <c r="H46" s="6">
        <v>9000000</v>
      </c>
      <c r="I46" s="6">
        <v>14000000</v>
      </c>
      <c r="J46" s="8">
        <v>19332368</v>
      </c>
      <c r="K46" s="6">
        <f t="shared" ref="K46:K61" si="54">(F46+G46)/12</f>
        <v>6534201.5083962632</v>
      </c>
      <c r="L46" s="6">
        <f t="shared" si="4"/>
        <v>1928125.0352644708</v>
      </c>
      <c r="M46" s="6">
        <f t="shared" si="5"/>
        <v>12854166.901763139</v>
      </c>
      <c r="N46" s="6">
        <f t="shared" si="29"/>
        <v>0</v>
      </c>
      <c r="O46" s="6">
        <f t="shared" si="30"/>
        <v>0</v>
      </c>
      <c r="P46" s="8"/>
      <c r="Q46" s="8">
        <f t="shared" si="51"/>
        <v>142059279.54617903</v>
      </c>
      <c r="R46" s="9">
        <f>7%*(F46+G46+H46+I46+K46+N46+O46+P46)</f>
        <v>7556123.3726406004</v>
      </c>
      <c r="S46" s="9">
        <f>23%*(F46+G46+H46+I46+N46+O46+P46)</f>
        <v>23324396.163173687</v>
      </c>
      <c r="T46" s="9">
        <f>Q46+S46</f>
        <v>165383675.7093527</v>
      </c>
    </row>
    <row r="47" spans="1:20" ht="17.25">
      <c r="A47" s="4" t="s">
        <v>38</v>
      </c>
      <c r="B47" s="11" t="s">
        <v>9</v>
      </c>
      <c r="C47" s="6">
        <v>1868860.9855258937</v>
      </c>
      <c r="D47" s="6">
        <f t="shared" si="9"/>
        <v>2510036.4023415903</v>
      </c>
      <c r="E47" s="12">
        <v>30.5</v>
      </c>
      <c r="F47" s="6">
        <f>E47*D47</f>
        <v>76556110.271418497</v>
      </c>
      <c r="G47" s="8">
        <f>74000*30.5</f>
        <v>2257000</v>
      </c>
      <c r="H47" s="6">
        <v>9000000</v>
      </c>
      <c r="I47" s="6">
        <v>14000000</v>
      </c>
      <c r="J47" s="6">
        <v>0</v>
      </c>
      <c r="K47" s="6">
        <f t="shared" si="54"/>
        <v>6567759.1892848751</v>
      </c>
      <c r="L47" s="6">
        <f t="shared" si="4"/>
        <v>1938027.3017561927</v>
      </c>
      <c r="M47" s="6">
        <f t="shared" si="5"/>
        <v>12920182.011707952</v>
      </c>
      <c r="N47" s="6">
        <f t="shared" ref="N47:N61" si="55">(F47+G47)/220*1.4*0</f>
        <v>0</v>
      </c>
      <c r="O47" s="6">
        <f t="shared" ref="O47:O61" si="56">0%*(F47+G47)</f>
        <v>0</v>
      </c>
      <c r="P47" s="8"/>
      <c r="Q47" s="8">
        <f t="shared" ref="Q47:Q49" si="57">SUM(F47:P47)</f>
        <v>123239078.77416751</v>
      </c>
      <c r="R47" s="9">
        <f>7%*(F47+G47+H47+I47+K47+N47+O47+P47)</f>
        <v>7586660.8622492366</v>
      </c>
      <c r="S47" s="9">
        <f>23%*(F47+G47+H47+I47+N47+O47+P47)</f>
        <v>23417015.362426255</v>
      </c>
      <c r="T47" s="9">
        <f>Q47+S47</f>
        <v>146656094.13659376</v>
      </c>
    </row>
    <row r="48" spans="1:20" ht="17.25">
      <c r="A48" s="10"/>
      <c r="B48" s="11" t="s">
        <v>10</v>
      </c>
      <c r="C48" s="6">
        <v>1868860.9855258937</v>
      </c>
      <c r="D48" s="6">
        <f t="shared" si="9"/>
        <v>2510036.4023415903</v>
      </c>
      <c r="E48" s="12">
        <v>30.5</v>
      </c>
      <c r="F48" s="6">
        <f>E48*D48</f>
        <v>76556110.271418497</v>
      </c>
      <c r="G48" s="8">
        <f t="shared" ref="G48:G49" si="58">74000*30.5</f>
        <v>2257000</v>
      </c>
      <c r="H48" s="6">
        <v>9000000</v>
      </c>
      <c r="I48" s="6">
        <v>14000000</v>
      </c>
      <c r="J48" s="8">
        <v>12166184</v>
      </c>
      <c r="K48" s="6">
        <f t="shared" si="54"/>
        <v>6567759.1892848751</v>
      </c>
      <c r="L48" s="6">
        <f t="shared" si="4"/>
        <v>1938027.3017561927</v>
      </c>
      <c r="M48" s="6">
        <f t="shared" si="5"/>
        <v>12920182.011707952</v>
      </c>
      <c r="N48" s="6">
        <f t="shared" si="55"/>
        <v>0</v>
      </c>
      <c r="O48" s="6">
        <f t="shared" si="56"/>
        <v>0</v>
      </c>
      <c r="P48" s="8"/>
      <c r="Q48" s="8">
        <f t="shared" si="57"/>
        <v>135405262.77416751</v>
      </c>
      <c r="R48" s="9">
        <f>7%*(F48+G48+H48+I48+K48+N48+O48+P48)</f>
        <v>7586660.8622492366</v>
      </c>
      <c r="S48" s="9">
        <f>23%*(F48+G48+H48+I48+N48+O48+P48)</f>
        <v>23417015.362426255</v>
      </c>
      <c r="T48" s="9">
        <f>Q48+S48</f>
        <v>158822278.13659376</v>
      </c>
    </row>
    <row r="49" spans="1:20" ht="17.25">
      <c r="A49" s="13"/>
      <c r="B49" s="11" t="s">
        <v>11</v>
      </c>
      <c r="C49" s="6">
        <v>1868860.9855258937</v>
      </c>
      <c r="D49" s="6">
        <f t="shared" si="9"/>
        <v>2510036.4023415903</v>
      </c>
      <c r="E49" s="12">
        <v>30.5</v>
      </c>
      <c r="F49" s="6">
        <f>E49*D49</f>
        <v>76556110.271418497</v>
      </c>
      <c r="G49" s="8">
        <f t="shared" si="58"/>
        <v>2257000</v>
      </c>
      <c r="H49" s="6">
        <v>9000000</v>
      </c>
      <c r="I49" s="6">
        <v>14000000</v>
      </c>
      <c r="J49" s="8">
        <v>19332368</v>
      </c>
      <c r="K49" s="6">
        <f t="shared" si="54"/>
        <v>6567759.1892848751</v>
      </c>
      <c r="L49" s="6">
        <f t="shared" si="4"/>
        <v>1938027.3017561927</v>
      </c>
      <c r="M49" s="6">
        <f t="shared" si="5"/>
        <v>12920182.011707952</v>
      </c>
      <c r="N49" s="6">
        <f t="shared" si="55"/>
        <v>0</v>
      </c>
      <c r="O49" s="6">
        <f t="shared" si="56"/>
        <v>0</v>
      </c>
      <c r="P49" s="8"/>
      <c r="Q49" s="8">
        <f t="shared" si="57"/>
        <v>142571446.77416751</v>
      </c>
      <c r="R49" s="9">
        <f>7%*(F49+G49+H49+I49+K49+N49+O49+P49)</f>
        <v>7586660.8622492366</v>
      </c>
      <c r="S49" s="9">
        <f>23%*(F49+G49+H49+I49+N49+O49+P49)</f>
        <v>23417015.362426255</v>
      </c>
      <c r="T49" s="9">
        <f>Q49+S49</f>
        <v>165988462.13659376</v>
      </c>
    </row>
    <row r="50" spans="1:20" ht="17.25">
      <c r="A50" s="4" t="s">
        <v>39</v>
      </c>
      <c r="B50" s="11" t="s">
        <v>9</v>
      </c>
      <c r="C50" s="6">
        <v>1881925.8090026942</v>
      </c>
      <c r="D50" s="6">
        <f t="shared" si="9"/>
        <v>2525975.4869832867</v>
      </c>
      <c r="E50" s="12">
        <v>30.5</v>
      </c>
      <c r="F50" s="6">
        <f>E50*D50</f>
        <v>77042252.35299024</v>
      </c>
      <c r="G50" s="8">
        <f>74400*30.5</f>
        <v>2269200</v>
      </c>
      <c r="H50" s="6">
        <v>9000000</v>
      </c>
      <c r="I50" s="6">
        <v>14000000</v>
      </c>
      <c r="J50" s="6">
        <v>0</v>
      </c>
      <c r="K50" s="6">
        <f t="shared" si="54"/>
        <v>6609287.6960825203</v>
      </c>
      <c r="L50" s="6">
        <f t="shared" si="4"/>
        <v>1950281.6152374651</v>
      </c>
      <c r="M50" s="6">
        <f t="shared" si="5"/>
        <v>13001877.434916435</v>
      </c>
      <c r="N50" s="6">
        <f t="shared" si="55"/>
        <v>0</v>
      </c>
      <c r="O50" s="6">
        <f t="shared" si="56"/>
        <v>0</v>
      </c>
      <c r="P50" s="8"/>
      <c r="Q50" s="8">
        <f t="shared" ref="Q50:Q52" si="59">SUM(F50:P50)</f>
        <v>123872899.09922665</v>
      </c>
      <c r="R50" s="9">
        <f>7%*(F50+G50+H50+I50+K50+N50+O50+P50)</f>
        <v>7624451.8034350937</v>
      </c>
      <c r="S50" s="9">
        <f>23%*(F50+G50+H50+I50+N50+O50+P50)</f>
        <v>23531634.041187756</v>
      </c>
      <c r="T50" s="9">
        <f>Q50+S50</f>
        <v>147404533.14041442</v>
      </c>
    </row>
    <row r="51" spans="1:20" ht="17.25">
      <c r="A51" s="10"/>
      <c r="B51" s="11" t="s">
        <v>10</v>
      </c>
      <c r="C51" s="6">
        <v>1881925.8090026942</v>
      </c>
      <c r="D51" s="6">
        <f t="shared" si="9"/>
        <v>2525975.4869832867</v>
      </c>
      <c r="E51" s="12">
        <v>30.5</v>
      </c>
      <c r="F51" s="6">
        <f t="shared" ref="F51:F52" si="60">E51*D51</f>
        <v>77042252.35299024</v>
      </c>
      <c r="G51" s="8">
        <f t="shared" ref="G51:G52" si="61">74400*30.5</f>
        <v>2269200</v>
      </c>
      <c r="H51" s="6">
        <v>9000000</v>
      </c>
      <c r="I51" s="6">
        <v>14000000</v>
      </c>
      <c r="J51" s="8">
        <v>12166184</v>
      </c>
      <c r="K51" s="6">
        <f t="shared" si="54"/>
        <v>6609287.6960825203</v>
      </c>
      <c r="L51" s="6">
        <f t="shared" si="4"/>
        <v>1950281.6152374651</v>
      </c>
      <c r="M51" s="6">
        <f t="shared" si="5"/>
        <v>13001877.434916435</v>
      </c>
      <c r="N51" s="6">
        <f t="shared" si="55"/>
        <v>0</v>
      </c>
      <c r="O51" s="6">
        <f t="shared" si="56"/>
        <v>0</v>
      </c>
      <c r="P51" s="8"/>
      <c r="Q51" s="8">
        <f t="shared" si="59"/>
        <v>136039083.09922665</v>
      </c>
      <c r="R51" s="9">
        <f>7%*(F51+G51+H51+I51+K51+N51+O51+P51)</f>
        <v>7624451.8034350937</v>
      </c>
      <c r="S51" s="9">
        <f>23%*(F51+G51+H51+I51+N51+O51+P51)</f>
        <v>23531634.041187756</v>
      </c>
      <c r="T51" s="9">
        <f>Q51+S51</f>
        <v>159570717.14041442</v>
      </c>
    </row>
    <row r="52" spans="1:20" ht="17.25">
      <c r="A52" s="13"/>
      <c r="B52" s="11" t="s">
        <v>11</v>
      </c>
      <c r="C52" s="6">
        <v>1881925.8090026942</v>
      </c>
      <c r="D52" s="6">
        <f t="shared" si="9"/>
        <v>2525975.4869832867</v>
      </c>
      <c r="E52" s="12">
        <v>30.5</v>
      </c>
      <c r="F52" s="6">
        <f t="shared" si="60"/>
        <v>77042252.35299024</v>
      </c>
      <c r="G52" s="8">
        <f t="shared" si="61"/>
        <v>2269200</v>
      </c>
      <c r="H52" s="6">
        <v>9000000</v>
      </c>
      <c r="I52" s="6">
        <v>14000000</v>
      </c>
      <c r="J52" s="8">
        <v>19332368</v>
      </c>
      <c r="K52" s="6">
        <f t="shared" si="54"/>
        <v>6609287.6960825203</v>
      </c>
      <c r="L52" s="6">
        <f t="shared" si="4"/>
        <v>1950281.6152374651</v>
      </c>
      <c r="M52" s="6">
        <f t="shared" si="5"/>
        <v>13001877.434916435</v>
      </c>
      <c r="N52" s="6">
        <f t="shared" si="55"/>
        <v>0</v>
      </c>
      <c r="O52" s="6">
        <f t="shared" si="56"/>
        <v>0</v>
      </c>
      <c r="P52" s="8"/>
      <c r="Q52" s="8">
        <f t="shared" si="59"/>
        <v>143205267.09922665</v>
      </c>
      <c r="R52" s="9">
        <f>7%*(F52+G52+H52+I52+K52+N52+O52+P52)</f>
        <v>7624451.8034350937</v>
      </c>
      <c r="S52" s="9">
        <f>23%*(F52+G52+H52+I52+N52+O52+P52)</f>
        <v>23531634.041187756</v>
      </c>
      <c r="T52" s="9">
        <f>Q52+S52</f>
        <v>166736901.14041442</v>
      </c>
    </row>
    <row r="53" spans="1:20" ht="17.25">
      <c r="A53" s="4" t="s">
        <v>40</v>
      </c>
      <c r="B53" s="11" t="s">
        <v>9</v>
      </c>
      <c r="C53" s="6">
        <v>1895005.7830285602</v>
      </c>
      <c r="D53" s="6">
        <f t="shared" si="9"/>
        <v>2541933.0552948434</v>
      </c>
      <c r="E53" s="12">
        <v>30.5</v>
      </c>
      <c r="F53" s="6">
        <f>E53*D53</f>
        <v>77528958.186492726</v>
      </c>
      <c r="G53" s="8">
        <f>74800*30.5</f>
        <v>2281400</v>
      </c>
      <c r="H53" s="6">
        <v>9000000</v>
      </c>
      <c r="I53" s="6">
        <v>14000000</v>
      </c>
      <c r="J53" s="6">
        <v>0</v>
      </c>
      <c r="K53" s="6">
        <f t="shared" si="54"/>
        <v>6650863.1822077269</v>
      </c>
      <c r="L53" s="6">
        <f t="shared" si="4"/>
        <v>1962549.7914711323</v>
      </c>
      <c r="M53" s="6">
        <f t="shared" si="5"/>
        <v>13083665.276474217</v>
      </c>
      <c r="N53" s="6">
        <f t="shared" si="55"/>
        <v>0</v>
      </c>
      <c r="O53" s="6">
        <f t="shared" si="56"/>
        <v>0</v>
      </c>
      <c r="P53" s="8"/>
      <c r="Q53" s="8">
        <f t="shared" ref="Q53:Q55" si="62">SUM(F53:P53)</f>
        <v>124507436.43664582</v>
      </c>
      <c r="R53" s="9">
        <f>7%*(F53+G53+H53+I53+K53+N53+O53+P53)</f>
        <v>7662285.4958090326</v>
      </c>
      <c r="S53" s="9">
        <f>23%*(F53+G53+H53+I53+N53+O53+P53)</f>
        <v>23646382.382893328</v>
      </c>
      <c r="T53" s="9">
        <f>Q53+S53</f>
        <v>148153818.81953916</v>
      </c>
    </row>
    <row r="54" spans="1:20" ht="17.25">
      <c r="A54" s="10"/>
      <c r="B54" s="11" t="s">
        <v>10</v>
      </c>
      <c r="C54" s="6">
        <v>1895005.7830285602</v>
      </c>
      <c r="D54" s="6">
        <f t="shared" si="9"/>
        <v>2541933.0552948434</v>
      </c>
      <c r="E54" s="12">
        <v>30.5</v>
      </c>
      <c r="F54" s="6">
        <f t="shared" ref="F54:F55" si="63">E54*D54</f>
        <v>77528958.186492726</v>
      </c>
      <c r="G54" s="8">
        <f t="shared" ref="G54:G55" si="64">74800*30.5</f>
        <v>2281400</v>
      </c>
      <c r="H54" s="6">
        <v>9000000</v>
      </c>
      <c r="I54" s="6">
        <v>14000000</v>
      </c>
      <c r="J54" s="8">
        <v>12166184</v>
      </c>
      <c r="K54" s="6">
        <f t="shared" si="54"/>
        <v>6650863.1822077269</v>
      </c>
      <c r="L54" s="6">
        <f t="shared" si="4"/>
        <v>1962549.7914711323</v>
      </c>
      <c r="M54" s="6">
        <f t="shared" si="5"/>
        <v>13083665.276474217</v>
      </c>
      <c r="N54" s="6">
        <f t="shared" si="55"/>
        <v>0</v>
      </c>
      <c r="O54" s="6">
        <f t="shared" si="56"/>
        <v>0</v>
      </c>
      <c r="P54" s="8"/>
      <c r="Q54" s="8">
        <f t="shared" si="62"/>
        <v>136673620.43664581</v>
      </c>
      <c r="R54" s="9">
        <f>7%*(F54+G54+H54+I54+K54+N54+O54+P54)</f>
        <v>7662285.4958090326</v>
      </c>
      <c r="S54" s="9">
        <f>23%*(F54+G54+H54+I54+N54+O54+P54)</f>
        <v>23646382.382893328</v>
      </c>
      <c r="T54" s="9">
        <f>Q54+S54</f>
        <v>160320002.81953913</v>
      </c>
    </row>
    <row r="55" spans="1:20" ht="17.25">
      <c r="A55" s="13"/>
      <c r="B55" s="11" t="s">
        <v>11</v>
      </c>
      <c r="C55" s="6">
        <v>1895005.7830285602</v>
      </c>
      <c r="D55" s="6">
        <f t="shared" si="9"/>
        <v>2541933.0552948434</v>
      </c>
      <c r="E55" s="12">
        <v>30.5</v>
      </c>
      <c r="F55" s="6">
        <f t="shared" si="63"/>
        <v>77528958.186492726</v>
      </c>
      <c r="G55" s="8">
        <f t="shared" si="64"/>
        <v>2281400</v>
      </c>
      <c r="H55" s="6">
        <v>9000000</v>
      </c>
      <c r="I55" s="6">
        <v>14000000</v>
      </c>
      <c r="J55" s="8">
        <v>19332368</v>
      </c>
      <c r="K55" s="6">
        <f t="shared" si="54"/>
        <v>6650863.1822077269</v>
      </c>
      <c r="L55" s="6">
        <f t="shared" si="4"/>
        <v>1962549.7914711323</v>
      </c>
      <c r="M55" s="6">
        <f t="shared" si="5"/>
        <v>13083665.276474217</v>
      </c>
      <c r="N55" s="6">
        <f t="shared" si="55"/>
        <v>0</v>
      </c>
      <c r="O55" s="6">
        <f t="shared" si="56"/>
        <v>0</v>
      </c>
      <c r="P55" s="8"/>
      <c r="Q55" s="8">
        <f t="shared" si="62"/>
        <v>143839804.43664581</v>
      </c>
      <c r="R55" s="9">
        <f>7%*(F55+G55+H55+I55+K55+N55+O55+P55)</f>
        <v>7662285.4958090326</v>
      </c>
      <c r="S55" s="9">
        <f>23%*(F55+G55+H55+I55+N55+O55+P55)</f>
        <v>23646382.382893328</v>
      </c>
      <c r="T55" s="9">
        <f>Q55+S55</f>
        <v>167486186.81953913</v>
      </c>
    </row>
    <row r="56" spans="1:20" ht="17.25">
      <c r="A56" s="4" t="s">
        <v>41</v>
      </c>
      <c r="B56" s="11" t="s">
        <v>9</v>
      </c>
      <c r="C56" s="6">
        <v>1910701.7518595983</v>
      </c>
      <c r="D56" s="6">
        <f t="shared" si="9"/>
        <v>2561082.13726871</v>
      </c>
      <c r="E56" s="12">
        <v>30.5</v>
      </c>
      <c r="F56" s="6">
        <f>E56*D56</f>
        <v>78113005.18669565</v>
      </c>
      <c r="G56" s="8">
        <f>75200*30.5</f>
        <v>2293600</v>
      </c>
      <c r="H56" s="6">
        <v>9000000</v>
      </c>
      <c r="I56" s="6">
        <v>14000000</v>
      </c>
      <c r="J56" s="6">
        <v>0</v>
      </c>
      <c r="K56" s="6">
        <f t="shared" si="54"/>
        <v>6700550.4322246378</v>
      </c>
      <c r="L56" s="6">
        <f t="shared" si="4"/>
        <v>1977211.6029515325</v>
      </c>
      <c r="M56" s="6">
        <f t="shared" si="5"/>
        <v>13181410.686343551</v>
      </c>
      <c r="N56" s="6">
        <f t="shared" si="55"/>
        <v>0</v>
      </c>
      <c r="O56" s="6">
        <f t="shared" si="56"/>
        <v>0</v>
      </c>
      <c r="P56" s="8"/>
      <c r="Q56" s="8">
        <f t="shared" ref="Q56:Q58" si="65">SUM(F56:P56)</f>
        <v>125265777.90821536</v>
      </c>
      <c r="R56" s="9">
        <f>7%*(F56+G56+H56+I56+K56+N56+O56+P56)</f>
        <v>7707500.8933244208</v>
      </c>
      <c r="S56" s="9">
        <f>23%*(F56+G56+H56+I56+N56+O56+P56)</f>
        <v>23783519.19294</v>
      </c>
      <c r="T56" s="9">
        <f>Q56+S56</f>
        <v>149049297.10115537</v>
      </c>
    </row>
    <row r="57" spans="1:20" ht="17.25">
      <c r="A57" s="10"/>
      <c r="B57" s="11" t="s">
        <v>10</v>
      </c>
      <c r="C57" s="6">
        <v>1910701.7518595983</v>
      </c>
      <c r="D57" s="6">
        <f t="shared" si="9"/>
        <v>2561082.13726871</v>
      </c>
      <c r="E57" s="12">
        <v>30.5</v>
      </c>
      <c r="F57" s="6">
        <f t="shared" ref="F57:F58" si="66">E57*D57</f>
        <v>78113005.18669565</v>
      </c>
      <c r="G57" s="8">
        <f t="shared" ref="G57:G58" si="67">75200*30.5</f>
        <v>2293600</v>
      </c>
      <c r="H57" s="6">
        <v>9000000</v>
      </c>
      <c r="I57" s="6">
        <v>14000000</v>
      </c>
      <c r="J57" s="8">
        <v>12166184</v>
      </c>
      <c r="K57" s="6">
        <f t="shared" si="54"/>
        <v>6700550.4322246378</v>
      </c>
      <c r="L57" s="6">
        <f t="shared" si="4"/>
        <v>1977211.6029515325</v>
      </c>
      <c r="M57" s="6">
        <f t="shared" si="5"/>
        <v>13181410.686343551</v>
      </c>
      <c r="N57" s="6">
        <f t="shared" si="55"/>
        <v>0</v>
      </c>
      <c r="O57" s="6">
        <f t="shared" si="56"/>
        <v>0</v>
      </c>
      <c r="P57" s="8"/>
      <c r="Q57" s="8">
        <f t="shared" si="65"/>
        <v>137431961.90821534</v>
      </c>
      <c r="R57" s="9">
        <f>7%*(F57+G57+H57+I57+K57+N57+O57+P57)</f>
        <v>7707500.8933244208</v>
      </c>
      <c r="S57" s="9">
        <f>23%*(F57+G57+H57+I57+N57+O57+P57)</f>
        <v>23783519.19294</v>
      </c>
      <c r="T57" s="9">
        <f>Q57+S57</f>
        <v>161215481.10115534</v>
      </c>
    </row>
    <row r="58" spans="1:20" ht="17.25">
      <c r="A58" s="13"/>
      <c r="B58" s="11" t="s">
        <v>11</v>
      </c>
      <c r="C58" s="6">
        <v>1910701.7518595983</v>
      </c>
      <c r="D58" s="6">
        <f t="shared" si="9"/>
        <v>2561082.13726871</v>
      </c>
      <c r="E58" s="12">
        <v>30.5</v>
      </c>
      <c r="F58" s="6">
        <f t="shared" si="66"/>
        <v>78113005.18669565</v>
      </c>
      <c r="G58" s="8">
        <f t="shared" si="67"/>
        <v>2293600</v>
      </c>
      <c r="H58" s="6">
        <v>9000000</v>
      </c>
      <c r="I58" s="6">
        <v>14000000</v>
      </c>
      <c r="J58" s="8">
        <v>19332368</v>
      </c>
      <c r="K58" s="6">
        <f t="shared" si="54"/>
        <v>6700550.4322246378</v>
      </c>
      <c r="L58" s="6">
        <f t="shared" si="4"/>
        <v>1977211.6029515325</v>
      </c>
      <c r="M58" s="6">
        <f t="shared" si="5"/>
        <v>13181410.686343551</v>
      </c>
      <c r="N58" s="6">
        <f t="shared" si="55"/>
        <v>0</v>
      </c>
      <c r="O58" s="6">
        <f t="shared" si="56"/>
        <v>0</v>
      </c>
      <c r="P58" s="8"/>
      <c r="Q58" s="8">
        <f t="shared" si="65"/>
        <v>144598145.90821534</v>
      </c>
      <c r="R58" s="9">
        <f>7%*(F58+G58+H58+I58+K58+N58+O58+P58)</f>
        <v>7707500.8933244208</v>
      </c>
      <c r="S58" s="9">
        <f>23%*(F58+G58+H58+I58+K58+N58+O58+P58)</f>
        <v>25324645.792351667</v>
      </c>
      <c r="T58" s="9">
        <f>Q58+S58</f>
        <v>169922791.70056701</v>
      </c>
    </row>
    <row r="59" spans="1:20" ht="17.25">
      <c r="A59" s="4" t="s">
        <v>42</v>
      </c>
      <c r="B59" s="11" t="s">
        <v>9</v>
      </c>
      <c r="C59" s="6">
        <v>1926402.7708736588</v>
      </c>
      <c r="D59" s="6">
        <f t="shared" si="9"/>
        <v>2580237.3804658637</v>
      </c>
      <c r="E59" s="12">
        <v>30.5</v>
      </c>
      <c r="F59" s="6">
        <f>E59*D59</f>
        <v>78697240.104208842</v>
      </c>
      <c r="G59" s="8">
        <f>75600*30.5</f>
        <v>2305800</v>
      </c>
      <c r="H59" s="6">
        <v>9000000</v>
      </c>
      <c r="I59" s="6">
        <v>14000000</v>
      </c>
      <c r="J59" s="6">
        <v>0</v>
      </c>
      <c r="K59" s="6">
        <f t="shared" si="54"/>
        <v>6750253.3420174038</v>
      </c>
      <c r="L59" s="6">
        <f t="shared" si="4"/>
        <v>1991878.0353493979</v>
      </c>
      <c r="M59" s="6">
        <f t="shared" si="5"/>
        <v>13279186.902329318</v>
      </c>
      <c r="N59" s="6">
        <f t="shared" si="55"/>
        <v>0</v>
      </c>
      <c r="O59" s="6">
        <f t="shared" si="56"/>
        <v>0</v>
      </c>
      <c r="P59" s="8"/>
      <c r="Q59" s="8">
        <f t="shared" ref="Q59:Q61" si="68">SUM(F59:P59)</f>
        <v>126024358.38390496</v>
      </c>
      <c r="R59" s="9">
        <f>7%*(F59+G59+H59+I59+K59+N59+O59+P59)</f>
        <v>7752730.5412358372</v>
      </c>
      <c r="S59" s="9">
        <f>23%*(F59+G59+H59+I59+N59+O59+P59)</f>
        <v>23920699.223968036</v>
      </c>
      <c r="T59" s="9">
        <f>Q59+S59</f>
        <v>149945057.60787299</v>
      </c>
    </row>
    <row r="60" spans="1:20" ht="17.25">
      <c r="A60" s="10"/>
      <c r="B60" s="11" t="s">
        <v>10</v>
      </c>
      <c r="C60" s="6">
        <v>1926402.7708736588</v>
      </c>
      <c r="D60" s="6">
        <f t="shared" si="9"/>
        <v>2580237.3804658637</v>
      </c>
      <c r="E60" s="12">
        <v>30.5</v>
      </c>
      <c r="F60" s="6">
        <f t="shared" ref="F60:F61" si="69">E60*D60</f>
        <v>78697240.104208842</v>
      </c>
      <c r="G60" s="8">
        <f t="shared" ref="G60:G61" si="70">75600*30.5</f>
        <v>2305800</v>
      </c>
      <c r="H60" s="6">
        <v>9000000</v>
      </c>
      <c r="I60" s="6">
        <v>14000000</v>
      </c>
      <c r="J60" s="8">
        <v>12166184</v>
      </c>
      <c r="K60" s="6">
        <f t="shared" si="54"/>
        <v>6750253.3420174038</v>
      </c>
      <c r="L60" s="6">
        <f t="shared" si="4"/>
        <v>1991878.0353493979</v>
      </c>
      <c r="M60" s="6">
        <f t="shared" si="5"/>
        <v>13279186.902329318</v>
      </c>
      <c r="N60" s="6">
        <f t="shared" si="55"/>
        <v>0</v>
      </c>
      <c r="O60" s="6">
        <f t="shared" si="56"/>
        <v>0</v>
      </c>
      <c r="P60" s="8"/>
      <c r="Q60" s="8">
        <f t="shared" si="68"/>
        <v>138190542.38390496</v>
      </c>
      <c r="R60" s="9">
        <f>7%*(F60+G60+H60+I60+K60+N60+O60+P60)</f>
        <v>7752730.5412358372</v>
      </c>
      <c r="S60" s="9">
        <f>23%*(F60+G60+H60+I60+N60+O60+P60)</f>
        <v>23920699.223968036</v>
      </c>
      <c r="T60" s="9">
        <f>Q60+S60</f>
        <v>162111241.60787299</v>
      </c>
    </row>
    <row r="61" spans="1:20" ht="17.25">
      <c r="A61" s="13"/>
      <c r="B61" s="11" t="s">
        <v>11</v>
      </c>
      <c r="C61" s="6">
        <v>1926402.7708736588</v>
      </c>
      <c r="D61" s="6">
        <f t="shared" si="9"/>
        <v>2580237.3804658637</v>
      </c>
      <c r="E61" s="12">
        <v>30.5</v>
      </c>
      <c r="F61" s="6">
        <f t="shared" si="69"/>
        <v>78697240.104208842</v>
      </c>
      <c r="G61" s="8">
        <f t="shared" si="70"/>
        <v>2305800</v>
      </c>
      <c r="H61" s="6">
        <v>9000000</v>
      </c>
      <c r="I61" s="6">
        <v>14000000</v>
      </c>
      <c r="J61" s="8">
        <v>19332368</v>
      </c>
      <c r="K61" s="6">
        <f t="shared" si="54"/>
        <v>6750253.3420174038</v>
      </c>
      <c r="L61" s="6">
        <f t="shared" si="4"/>
        <v>1991878.0353493979</v>
      </c>
      <c r="M61" s="6">
        <f t="shared" si="5"/>
        <v>13279186.902329318</v>
      </c>
      <c r="N61" s="6">
        <f t="shared" si="55"/>
        <v>0</v>
      </c>
      <c r="O61" s="6">
        <f t="shared" si="56"/>
        <v>0</v>
      </c>
      <c r="P61" s="8"/>
      <c r="Q61" s="8">
        <f t="shared" si="68"/>
        <v>145356726.38390496</v>
      </c>
      <c r="R61" s="9">
        <f>7%*(F61+G61+H61+I61+K61+N61+O61+P61)</f>
        <v>7752730.5412358372</v>
      </c>
      <c r="S61" s="9">
        <f>23%*(F61+G61+H61+I61+N61+O61+P61)</f>
        <v>23920699.223968036</v>
      </c>
      <c r="T61" s="9">
        <f>Q61+S61</f>
        <v>169277425.60787299</v>
      </c>
    </row>
  </sheetData>
  <mergeCells count="20">
    <mergeCell ref="A59:A61"/>
    <mergeCell ref="A50:A52"/>
    <mergeCell ref="A53:A55"/>
    <mergeCell ref="A44:A46"/>
    <mergeCell ref="A47:A49"/>
    <mergeCell ref="A8:A10"/>
    <mergeCell ref="A11:A13"/>
    <mergeCell ref="A2:A4"/>
    <mergeCell ref="A5:A7"/>
    <mergeCell ref="A56:A58"/>
    <mergeCell ref="A20:A22"/>
    <mergeCell ref="A23:A25"/>
    <mergeCell ref="A14:A16"/>
    <mergeCell ref="A38:A40"/>
    <mergeCell ref="A41:A43"/>
    <mergeCell ref="A32:A34"/>
    <mergeCell ref="A35:A37"/>
    <mergeCell ref="A26:A28"/>
    <mergeCell ref="A29:A31"/>
    <mergeCell ref="A17:A1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mohaddesi-f4</dc:creator>
  <cp:lastModifiedBy>mousalo-F2</cp:lastModifiedBy>
  <cp:lastPrinted>2022-05-24T06:57:44Z</cp:lastPrinted>
  <dcterms:created xsi:type="dcterms:W3CDTF">2014-01-04T04:51:44Z</dcterms:created>
  <dcterms:modified xsi:type="dcterms:W3CDTF">2024-04-03T05:42:34Z</dcterms:modified>
</cp:coreProperties>
</file>